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7.xml.rels" ContentType="application/vnd.openxmlformats-package.relationships+xml"/>
  <Override PartName="/xl/worksheets/_rels/sheet9.xml.rels" ContentType="application/vnd.openxmlformats-package.relationships+xml"/>
  <Override PartName="/xl/worksheets/_rels/sheet11.xml.rels" ContentType="application/vnd.openxmlformats-package.relationships+xml"/>
  <Override PartName="/xl/worksheets/_rels/sheet13.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ERÇÃO-DE-DADOS_MÃO DE OBRA" sheetId="1" state="visible" r:id="rId2"/>
    <sheet name="INSERÇÃO-DE-DADOS_PRODUTIVIDADE" sheetId="2" state="visible" r:id="rId3"/>
    <sheet name="DADOS-ESTATISTICOS" sheetId="3" state="visible" r:id="rId4"/>
    <sheet name="ENCARGOS-SOCIAIS-E-TRABALHISTAS" sheetId="4" state="visible" r:id="rId5"/>
    <sheet name="ENCARREGADO" sheetId="5" state="visible" r:id="rId6"/>
    <sheet name="SERVENTE CG" sheetId="6" state="visible" r:id="rId7"/>
    <sheet name="CUSTO M² CG" sheetId="7" state="visible" r:id="rId8"/>
    <sheet name="SERVENTE DOU" sheetId="8" state="visible" r:id="rId9"/>
    <sheet name="CUSTO M² DOU" sheetId="9" state="visible" r:id="rId10"/>
    <sheet name="SERVENTE TL" sheetId="10" state="visible" r:id="rId11"/>
    <sheet name="CUSTO M² TL" sheetId="11" state="visible" r:id="rId12"/>
    <sheet name="SERVENTE COR" sheetId="12" state="visible" r:id="rId13"/>
    <sheet name="CUSTO M² COR" sheetId="13" state="visible" r:id="rId14"/>
    <sheet name="UNIFORMES" sheetId="14" state="visible" r:id="rId15"/>
    <sheet name="MATERIAIS E EQUIPAMENTOS" sheetId="15" state="visible" r:id="rId16"/>
    <sheet name="QUADRO-RESUMO" sheetId="16" state="visible" r:id="rId17"/>
    <sheet name="QTDE-ESTIMADA-SERVENTES" sheetId="17" state="visible" r:id="rId18"/>
  </sheets>
  <definedNames>
    <definedName function="false" hidden="false" localSheetId="0" name="_xlnm.Print_Area" vbProcedure="false">'INSERÇÃO-DE-DADOS_MÃO DE OBRA'!$B$1:$G$78</definedName>
    <definedName function="false" hidden="false" localSheetId="1" name="_xlnm.Print_Area" vbProcedure="false">'INSERÇÃO-DE-DADOS_PRODUTIVIDADE'!$B$2:$L$27</definedName>
    <definedName function="false" hidden="false" name="ACORDO_COLETIVO" vbProcedure="false">'INSERÇÃO-DE-DADOS_MÃO DE OBRA'!$F$14</definedName>
    <definedName function="false" hidden="false" name="ADIC_INSALUB_ENC" vbProcedure="false">'INSERÇÃO-DE-DADOS_MÃO DE OBRA'!$D$19</definedName>
    <definedName function="false" hidden="false" name="ADIC_INSALUB_SERV" vbProcedure="false">'INSERÇÃO-DE-DADOS_MÃO DE OBRA'!$D$20</definedName>
    <definedName function="false" hidden="false" name="ADIC_INSALUB_SERV_HOSP" vbProcedure="false">'INSERÇÃO-DE-DADOS_MÃO DE OBRA'!$D$21</definedName>
    <definedName function="false" hidden="false" name="ALIMENTACAO_POR_DIA" vbProcedure="false">'INSERÇÃO-DE-DADOS_MÃO DE OBRA'!$F$50</definedName>
    <definedName function="false" hidden="false" name="AL_1_C_OUTROS_REM_1_SERV" vbProcedure="false">'SERVENTE CG'!$F$23</definedName>
    <definedName function="false" hidden="false" name="AL_1_D_OUTROS_REM_2_ENC" vbProcedure="false">ENCARREGADO!$F$24</definedName>
    <definedName function="false" hidden="false" name="AL_1_D_OUTROS_REM_2_SERV" vbProcedure="false">'SERVENTE CG'!$F$24</definedName>
    <definedName function="false" hidden="false" name="AL_1_E_OUTROS_REM_3_SERV" vbProcedure="false">'SERVENTE CG'!$F$25</definedName>
    <definedName function="false" hidden="false" name="AREA_ESQ_EXTERNA_ANEXOS" vbProcedure="false">#REF!</definedName>
    <definedName function="false" hidden="false" name="AREA_ESQ_EXTERNA_PTMS_PRMS" vbProcedure="false">#REF!</definedName>
    <definedName function="false" hidden="false" name="AREA_ESQ_EXTERNA_SEDE" vbProcedure="false">#REF!</definedName>
    <definedName function="false" hidden="false" name="AREA_ESQ_EXTERNA_TOTAL" vbProcedure="false">#REF!</definedName>
    <definedName function="false" hidden="false" name="AREA_EXTERNA_ANEXOS" vbProcedure="false">#REF!</definedName>
    <definedName function="false" hidden="false" name="AREA_EXTERNA_PTMS_PRMS" vbProcedure="false">#REF!</definedName>
    <definedName function="false" hidden="false" name="AREA_EXTERNA_SEDE" vbProcedure="false">#REF!</definedName>
    <definedName function="false" hidden="false" name="AREA_EXTERNA_TOTAL" vbProcedure="false">#REF!</definedName>
    <definedName function="false" hidden="false" name="AREA_FACHADA_ENVID_ANEXOS" vbProcedure="false">#REF!</definedName>
    <definedName function="false" hidden="false" name="AREA_FACHADA_ENVID_PTMS_PRMS" vbProcedure="false">#REF!</definedName>
    <definedName function="false" hidden="false" name="AREA_FACHADA_ENVID_SEDE" vbProcedure="false">#REF!</definedName>
    <definedName function="false" hidden="false" name="AREA_FACHADA_ENVID_TOTAL" vbProcedure="false">#REF!</definedName>
    <definedName function="false" hidden="false" name="AREA_INTERNA_ANEXOS" vbProcedure="false">#REF!</definedName>
    <definedName function="false" hidden="false" name="AREA_INTERNA_PTMS_PRMS" vbProcedure="false">#REF!</definedName>
    <definedName function="false" hidden="false" name="AREA_INTERNA_SEDE" vbProcedure="false">#REF!</definedName>
    <definedName function="false" hidden="false" name="AREA_INTERNA_TOTAL" vbProcedure="false">#REF!</definedName>
    <definedName function="false" hidden="false" name="AREA_MED_HOSP_ANEXOS" vbProcedure="false">#REF!</definedName>
    <definedName function="false" hidden="false" name="AREA_MED_HOSP_PTMS_PRMS" vbProcedure="false">#REF!</definedName>
    <definedName function="false" hidden="false" name="AREA_MED_HOSP_SEDE" vbProcedure="false">#REF!</definedName>
    <definedName function="false" hidden="false" name="AREA_MED_HOSP_TOTAL" vbProcedure="false">#REF!</definedName>
    <definedName function="false" hidden="false" name="CARGA_HORARIA_SEMANAL" vbProcedure="false">'DADOS-ESTATISTICOS'!$F$11</definedName>
    <definedName function="false" hidden="false" name="CATEGORIA_PROFISSIONAL_ENC" vbProcedure="false">'INSERÇÃO-DE-DADOS_MÃO DE OBRA'!$C$19</definedName>
    <definedName function="false" hidden="false" name="CATEGORIA_PROFISSIONAL_SERV" vbProcedure="false">'INSERÇÃO-DE-DADOS_MÃO DE OBRA'!$C$20</definedName>
    <definedName function="false" hidden="false" name="CATEGORIA_PROFISSIONAL_SERV_HOSP" vbProcedure="false">'INSERÇÃO-DE-DADOS_MÃO DE OBRA'!$C$21</definedName>
    <definedName function="false" hidden="false" name="CBO" vbProcedure="false">'INSERÇÃO-DE-DADOS_MÃO DE OBRA'!$D$25</definedName>
    <definedName function="false" hidden="false" name="COEF_KI_ESQ_EXTERNA_ENC" vbProcedure="false">'CUSTO M² CG'!$G$41</definedName>
    <definedName function="false" hidden="false" name="COEF_KI_ESQ_EXTERNA_SERV" vbProcedure="false">'CUSTO M² CG'!$G$43</definedName>
    <definedName function="false" hidden="false" name="COEF_KI_FACHADA_ENVID_ENC" vbProcedure="false">#REF!</definedName>
    <definedName function="false" hidden="false" name="COEF_KI_FACHADA_ENVID_SERV" vbProcedure="false">#REF!</definedName>
    <definedName function="false" hidden="false" name="CUSTO_M2_AREA_EXTERNA" vbProcedure="false">#REF!</definedName>
    <definedName function="false" hidden="false" name="CUSTO_M2_AREA_EXTERNA_ENC" vbProcedure="false">'CUSTO M² CG'!$F$26</definedName>
    <definedName function="false" hidden="false" name="CUSTO_M2_AREA_EXTERNA_SERV" vbProcedure="false">#REF!</definedName>
    <definedName function="false" hidden="false" name="CUSTO_M2_AREA_HOSPITALAR_ENC" vbProcedure="false">#REF!</definedName>
    <definedName function="false" hidden="false" name="CUSTO_M2_AREA_HOSPITALAR_SERV" vbProcedure="false">#REF!</definedName>
    <definedName function="false" hidden="false" name="CUSTO_M2_AREA_INTERNA" vbProcedure="false">'CUSTO M² CG'!$F$20</definedName>
    <definedName function="false" hidden="false" name="CUSTO_M2_AREA_INTERNA_ENC" vbProcedure="false">'CUSTO M² CG'!$F$12</definedName>
    <definedName function="false" hidden="false" name="CUSTO_M2_AREA_INTERNA_SERV" vbProcedure="false">#REF!</definedName>
    <definedName function="false" hidden="false" name="CUSTO_M2_AREA_MED_HOSP" vbProcedure="false">#REF!</definedName>
    <definedName function="false" hidden="false" name="CUSTO_M2_ESQ_EXTERNA" vbProcedure="false">'CUSTO M² CG'!$I$45</definedName>
    <definedName function="false" hidden="false" name="CUSTO_M2_ESQ_EXTERNA_ENC" vbProcedure="false">'CUSTO M² CG'!$I$41</definedName>
    <definedName function="false" hidden="false" name="CUSTO_M2_ESQ_EXTERNA_SERV" vbProcedure="false">'CUSTO M² CG'!$I$43</definedName>
    <definedName function="false" hidden="false" name="CUSTO_M2_FACHADA_ENVID" vbProcedure="false">#REF!</definedName>
    <definedName function="false" hidden="false" name="CUSTO_M2_FACHADA_ENVID_ENC" vbProcedure="false">#REF!</definedName>
    <definedName function="false" hidden="false" name="CUSTO_M2_FACHADA_ENVID_SERV" vbProcedure="false">#REF!</definedName>
    <definedName function="false" hidden="false" name="DATA_APRESENTACAO_PROPOSTA" vbProcedure="false">'INSERÇÃO-DE-DADOS_MÃO DE OBRA'!$F$11</definedName>
    <definedName function="false" hidden="false" name="DATA_BASE_CATEGORIA" vbProcedure="false">'INSERÇÃO-DE-DADOS_MÃO DE OBRA'!$F$26</definedName>
    <definedName function="false" hidden="false" name="DATA_DO_ORCAMENTO_ESTIMATIVO" vbProcedure="false">'INSERÇÃO-DE-DADOS_MÃO DE OBRA'!$F$2</definedName>
    <definedName function="false" hidden="false" name="DATA_LICITACAO" vbProcedure="false">'INSERÇÃO-DE-DADOS_MÃO DE OBRA'!$D$7</definedName>
    <definedName function="false" hidden="false" name="DIAS_AUSENCIAS_LEGAIS" vbProcedure="false">'DADOS-ESTATISTICOS'!$F$29</definedName>
    <definedName function="false" hidden="false" name="DIAS_LICENCA_MATERNIDADE" vbProcedure="false">'DADOS-ESTATISTICOS'!$F$35</definedName>
    <definedName function="false" hidden="false" name="DIAS_LICENCA_PATERNIDADE" vbProcedure="false">'DADOS-ESTATISTICOS'!$F$30</definedName>
    <definedName function="false" hidden="false" name="DIAS_NA_SEMANA" vbProcedure="false">'DADOS-ESTATISTICOS'!$F$5</definedName>
    <definedName function="false" hidden="false" name="DIAS_NO_ANO" vbProcedure="false">'DADOS-ESTATISTICOS'!$F$6</definedName>
    <definedName function="false" hidden="false" name="DIAS_NO_MES" vbProcedure="false">'DADOS-ESTATISTICOS'!$F$24</definedName>
    <definedName function="false" hidden="false" name="DIAS_PAGOS_EMPRESA_ACID_TRAB" vbProcedure="false">'DADOS-ESTATISTICOS'!$F$34</definedName>
    <definedName function="false" hidden="false" name="DIAS_TRABALHADOS_NO_MES" vbProcedure="false">'INSERÇÃO-DE-DADOS_MÃO DE OBRA'!$F$51</definedName>
    <definedName function="false" hidden="false" name="DIVISOR_DE_HORAS" vbProcedure="false">'DADOS-ESTATISTICOS'!$F$4</definedName>
    <definedName function="false" hidden="false" name="ENCARREGADO_DE_LIMPEZA" vbProcedure="false">'INSERÇÃO-DE-DADOS_MÃO DE OBRA'!$C$19</definedName>
    <definedName function="false" hidden="false" name="EQUIPAMENTOS" vbProcedure="false">#REF!</definedName>
    <definedName function="false" hidden="false" name="FREQ_ESQ_EXTERNA" vbProcedure="false">'INSERÇÃO-DE-DADOS_MÃO DE OBRA'!$L$11</definedName>
    <definedName function="false" hidden="false" name="FREQ_FACHADA_ENVID" vbProcedure="false">'INSERÇÃO-DE-DADOS_MÃO DE OBRA'!$L$12</definedName>
    <definedName function="false" hidden="false" name="HORARIO_LICITACAO" vbProcedure="false">'INSERÇÃO-DE-DADOS_MÃO DE OBRA'!$F$7</definedName>
    <definedName function="false" hidden="false" name="HORA_NORMAL" vbProcedure="false">'DADOS-ESTATISTICOS'!$F$10</definedName>
    <definedName function="false" hidden="false" name="JORNADA_MES_ESQ_EXTERNA_ENC" vbProcedure="false">'CUSTO M² CG'!$F$41</definedName>
    <definedName function="false" hidden="false" name="JORNADA_MES_ESQ_EXTERNA_SERV" vbProcedure="false">'CUSTO M² CG'!$F$43</definedName>
    <definedName function="false" hidden="false" name="JORNADA_MES_FACHADA_ENVID_ENC" vbProcedure="false">#REF!</definedName>
    <definedName function="false" hidden="false" name="JORNADA_MES_FACHADA_ENVID_SERV" vbProcedure="false">#REF!</definedName>
    <definedName function="false" hidden="false" name="LOCAL_DE_EXECUCAO" vbProcedure="false">'INSERÇÃO-DE-DADOS_MÃO DE OBRA'!$D$12</definedName>
    <definedName function="false" hidden="false" name="MATERIAIS" vbProcedure="false">#REF!</definedName>
    <definedName function="false" hidden="false" name="MEDIA_ANUAL_DIAS_TRABALHO_MES" vbProcedure="false">'DADOS-ESTATISTICOS'!$F$7</definedName>
    <definedName function="false" hidden="false" name="MESES_NO_ANO" vbProcedure="false">'DADOS-ESTATISTICOS'!$F$8</definedName>
    <definedName function="false" hidden="false" name="MESES_NO_SEMESTRE" vbProcedure="false">'DADOS-ESTATISTICOS'!$F$9</definedName>
    <definedName function="false" hidden="false" name="MODALIDADE_DE_LICITACAO" vbProcedure="false">'INSERÇÃO-DE-DADOS_MÃO DE OBRA'!$D$6</definedName>
    <definedName function="false" hidden="false" name="NUMERO_MESES_EXEC_CONTRATUAL" vbProcedure="false">'INSERÇÃO-DE-DADOS_MÃO DE OBRA'!$F$15</definedName>
    <definedName function="false" hidden="false" name="NUMERO_PREGAO" vbProcedure="false">'INSERÇÃO-DE-DADOS_MÃO DE OBRA'!$F$6</definedName>
    <definedName function="false" hidden="false" name="NUMERO_PROCESSO" vbProcedure="false">'INSERÇÃO-DE-DADOS_MÃO DE OBRA'!$D$5</definedName>
    <definedName function="false" hidden="false" name="OUTRAS_AUSENCIAS" vbProcedure="false">'ENCARGOS-SOCIAIS-E-TRABALHISTAS'!$E$31</definedName>
    <definedName function="false" hidden="false" name="OUTRAS_AUSENCIAS_DESCRICAO" vbProcedure="false">'INSERÇÃO-DE-DADOS_MÃO DE OBRA'!$C$59</definedName>
    <definedName function="false" hidden="false" name="OUTROS_BENEFICIOS_1" vbProcedure="false">'INSERÇÃO-DE-DADOS_MÃO DE OBRA'!$F$52</definedName>
    <definedName function="false" hidden="false" name="OUTROS_BENEFICIOS_1_DESCRICAO" vbProcedure="false">'INSERÇÃO-DE-DADOS_MÃO DE OBRA'!$C$52</definedName>
    <definedName function="false" hidden="false" name="OUTROS_BENEFICIOS_2" vbProcedure="false">'INSERÇÃO-DE-DADOS_MÃO DE OBRA'!$F$53</definedName>
    <definedName function="false" hidden="false" name="OUTROS_BENEFICIOS_2_DESCRICAO" vbProcedure="false">'INSERÇÃO-DE-DADOS_MÃO DE OBRA'!$C$53</definedName>
    <definedName function="false" hidden="false" name="OUTROS_BENEFICIOS_3" vbProcedure="false">'INSERÇÃO-DE-DADOS_MÃO DE OBRA'!$F$54</definedName>
    <definedName function="false" hidden="false" name="OUTROS_BENEFICIOS_3_DESCRICAO" vbProcedure="false">'INSERÇÃO-DE-DADOS_MÃO DE OBRA'!$C$54</definedName>
    <definedName function="false" hidden="false" name="OUTROS_INSUMOS" vbProcedure="false">#REF!</definedName>
    <definedName function="false" hidden="false" name="OUTROS_INSUMOS_DESCRICAO" vbProcedure="false">#REF!</definedName>
    <definedName function="false" hidden="false" name="OUTROS_REMUNERACAO_1" vbProcedure="false">'INSERÇÃO-DE-DADOS_MÃO DE OBRA'!$F$33</definedName>
    <definedName function="false" hidden="false" name="OUTROS_REMUNERACAO_1_DESCRICAO" vbProcedure="false">'INSERÇÃO-DE-DADOS_MÃO DE OBRA'!$C$33</definedName>
    <definedName function="false" hidden="false" name="OUTROS_REMUNERACAO_2" vbProcedure="false">'INSERÇÃO-DE-DADOS_MÃO DE OBRA'!$F$34</definedName>
    <definedName function="false" hidden="false" name="OUTROS_REMUNERACAO_2_DESCRICAO" vbProcedure="false">'INSERÇÃO-DE-DADOS_MÃO DE OBRA'!$C$34:$E$34</definedName>
    <definedName function="false" hidden="false" name="OUTROS_REMUNERACAO_3" vbProcedure="false">'INSERÇÃO-DE-DADOS_MÃO DE OBRA'!$F$35</definedName>
    <definedName function="false" hidden="false" name="OUTROS_REMUNERACAO_3_DESCRICAO" vbProcedure="false">'INSERÇÃO-DE-DADOS_MÃO DE OBRA'!$C$35:$E$35</definedName>
    <definedName function="false" hidden="false" name="PERC_ADIC_FERIAS" vbProcedure="false">'ENCARGOS-SOCIAIS-E-TRABALHISTAS'!$E$6</definedName>
    <definedName function="false" hidden="false" name="PERC_ADIC_INSALUB" vbProcedure="false">'INSERÇÃO-DE-DADOS_MÃO DE OBRA'!$F$32</definedName>
    <definedName function="false" hidden="false" name="PERC_AVISO_PREVIO_IND" vbProcedure="false">'ENCARGOS-SOCIAIS-E-TRABALHISTAS'!$E$20</definedName>
    <definedName function="false" hidden="false" name="PERC_AVISO_PREVIO_TRAB" vbProcedure="false">'ENCARGOS-SOCIAIS-E-TRABALHISTAS'!$E$21</definedName>
    <definedName function="false" hidden="false" name="PERC_COFINS" vbProcedure="false">'INSERÇÃO-DE-DADOS_MÃO DE OBRA'!$F$74</definedName>
    <definedName function="false" hidden="false" name="PERC_CONTRIB_SOCIAL" vbProcedure="false">#REF!</definedName>
    <definedName function="false" hidden="false" name="PERC_CUSTOS_INDIRETOS" vbProcedure="false">'INSERÇÃO-DE-DADOS_MÃO DE OBRA'!$F$71</definedName>
    <definedName function="false" hidden="false" name="PERC_DEC_TERC" vbProcedure="false">'ENCARGOS-SOCIAIS-E-TRABALHISTAS'!$E$5</definedName>
    <definedName function="false" hidden="false" name="PERC_DESC_TRANSP_REMUNERACAO" vbProcedure="false">'DADOS-ESTATISTICOS'!$F$16</definedName>
    <definedName function="false" hidden="false" name="PERC_EMPREG_AFAST_TRAB" vbProcedure="false">'DADOS-ESTATISTICOS'!$F$33</definedName>
    <definedName function="false" hidden="false" name="PERC_EMPREG_AVISO_PREVIO_IND" vbProcedure="false">'DADOS-ESTATISTICOS'!$F$21</definedName>
    <definedName function="false" hidden="false" name="PERC_EMPREG_AVISO_PREVIO_TRAB" vbProcedure="false">'DADOS-ESTATISTICOS'!$F$23</definedName>
    <definedName function="false" hidden="false" name="PERC_EMPREG_DEMIT_SEM_JUSTA_CAUSA_TOTAL_DESLIG" vbProcedure="false">'DADOS-ESTATISTICOS'!$F$20</definedName>
    <definedName function="false" hidden="false" name="PERC_FGTS" vbProcedure="false">'ENCARGOS-SOCIAIS-E-TRABALHISTAS'!$E$16</definedName>
    <definedName function="false" hidden="false" name="PERC_FGTS_AVISO_PREV_IND" vbProcedure="false">#REF!</definedName>
    <definedName function="false" hidden="false" name="PERC_GPS_FGTS" vbProcedure="false">'ENCARGOS-SOCIAIS-E-TRABALHISTAS'!$E$17</definedName>
    <definedName function="false" hidden="false" name="PERC_GPS_FGTS_AVISO_PREVIO_TRAB" vbProcedure="false">#REF!</definedName>
    <definedName function="false" hidden="false" name="PERC_HORA_EXTRA" vbProcedure="false">'INSERÇÃO-DE-DADOS_MÃO DE OBRA'!$F$63</definedName>
    <definedName function="false" hidden="false" name="PERC_INCRA" vbProcedure="false">'ENCARGOS-SOCIAIS-E-TRABALHISTAS'!$E$15</definedName>
    <definedName function="false" hidden="false" name="PERC_INSS" vbProcedure="false">'ENCARGOS-SOCIAIS-E-TRABALHISTAS'!$E$9</definedName>
    <definedName function="false" hidden="false" name="PERC_ISS" vbProcedure="false">'INSERÇÃO-DE-DADOS_MÃO DE OBRA'!$F$75</definedName>
    <definedName function="false" hidden="false" name="PERC_LUCRO" vbProcedure="false">'INSERÇÃO-DE-DADOS_MÃO DE OBRA'!$F$72</definedName>
    <definedName function="false" hidden="false" name="PERC_MULTA_FGTS" vbProcedure="false">'DADOS-ESTATISTICOS'!$F$22</definedName>
    <definedName function="false" hidden="false" name="PERC_MULTA_FGTS_AV_PREV_IND" vbProcedure="false">#REF!</definedName>
    <definedName function="false" hidden="false" name="PERC_MULTA_FGTS_AV_PREV_TRAB" vbProcedure="false">'ENCARGOS-SOCIAIS-E-TRABALHISTAS'!$E$22</definedName>
    <definedName function="false" hidden="false" name="PERC_NASCIDOS_VIVOS_POPUL_FEM" vbProcedure="false">'DADOS-ESTATISTICOS'!$F$31</definedName>
    <definedName function="false" hidden="false" name="PERC_PARTIC_FEM_VIGIL" vbProcedure="false">'DADOS-ESTATISTICOS'!$F$36</definedName>
    <definedName function="false" hidden="false" name="PERC_PARTIC_MASC_VIGIL" vbProcedure="false">'DADOS-ESTATISTICOS'!$F$32</definedName>
    <definedName function="false" hidden="false" name="PERC_PIS" vbProcedure="false">'INSERÇÃO-DE-DADOS_MÃO DE OBRA'!$F$73</definedName>
    <definedName function="false" hidden="false" name="PERC_RAT" vbProcedure="false">'ENCARGOS-SOCIAIS-E-TRABALHISTAS'!$E$11</definedName>
    <definedName function="false" hidden="false" name="PERC_SAL_EDUCACAO" vbProcedure="false">'ENCARGOS-SOCIAIS-E-TRABALHISTAS'!$E$10</definedName>
    <definedName function="false" hidden="false" name="PERC_SEBRAE" vbProcedure="false">'ENCARGOS-SOCIAIS-E-TRABALHISTAS'!$E$14</definedName>
    <definedName function="false" hidden="false" name="PERC_SENAC" vbProcedure="false">'ENCARGOS-SOCIAIS-E-TRABALHISTAS'!$E$13</definedName>
    <definedName function="false" hidden="false" name="PERC_SESC" vbProcedure="false">'ENCARGOS-SOCIAIS-E-TRABALHISTAS'!$E$12</definedName>
    <definedName function="false" hidden="false" name="PERC_SUBSTITUTO_ACID_TRAB" vbProcedure="false">'ENCARGOS-SOCIAIS-E-TRABALHISTAS'!$E$29</definedName>
    <definedName function="false" hidden="false" name="PERC_SUBSTITUTO_AFAST_MATERN" vbProcedure="false">'ENCARGOS-SOCIAIS-E-TRABALHISTAS'!$E$30</definedName>
    <definedName function="false" hidden="false" name="PERC_SUBSTITUTO_AUSENCIAS_LEGAIS" vbProcedure="false">'ENCARGOS-SOCIAIS-E-TRABALHISTAS'!$E$27</definedName>
    <definedName function="false" hidden="false" name="PERC_SUBSTITUTO_FERIAS" vbProcedure="false">'ENCARGOS-SOCIAIS-E-TRABALHISTAS'!$E$26</definedName>
    <definedName function="false" hidden="false" name="PERC_SUBSTITUTO_LICENCA_PATERNIDADE" vbProcedure="false">'ENCARGOS-SOCIAIS-E-TRABALHISTAS'!$E$28</definedName>
    <definedName function="false" hidden="false" name="PERC_SUBSTITUTO_OUTRAS_AUSENCIAS" vbProcedure="false">'INSERÇÃO-DE-DADOS_MÃO DE OBRA'!$F$59</definedName>
    <definedName function="false" hidden="false" name="PORTARIA_LIMITES" vbProcedure="false">'INSERÇÃO-DE-DADOS_MÃO DE OBRA'!$L$3</definedName>
    <definedName function="false" hidden="false" name="PRODUT_AREA_ESQ_EXTERNA" vbProcedure="false">'INSERÇÃO-DE-DADOS_MÃO DE OBRA'!$K$11</definedName>
    <definedName function="false" hidden="false" name="PRODUT_AREA_EXTERNA" vbProcedure="false">'INSERÇÃO-DE-DADOS_MÃO DE OBRA'!$K$10</definedName>
    <definedName function="false" hidden="false" name="PRODUT_AREA_FACHADA_ENVID" vbProcedure="false">'INSERÇÃO-DE-DADOS_MÃO DE OBRA'!$K$12</definedName>
    <definedName function="false" hidden="false" name="PRODUT_AREA_HOSPITALAR" vbProcedure="false">'INSERÇÃO-DE-DADOS_MÃO DE OBRA'!$K$13</definedName>
    <definedName function="false" hidden="false" name="PRODUT_AREA_INTERNA" vbProcedure="false">'INSERÇÃO-DE-DADOS_MÃO DE OBRA'!$K$8</definedName>
    <definedName function="false" hidden="false" name="QTDE_DE_ENC" vbProcedure="false">'INSERÇÃO-DE-DADOS_MÃO DE OBRA'!$E$19</definedName>
    <definedName function="false" hidden="false" name="QTDE_DE_SERV" vbProcedure="false">'INSERÇÃO-DE-DADOS_MÃO DE OBRA'!$E$20</definedName>
    <definedName function="false" hidden="false" name="QTDE_DE_SERV_HOSP" vbProcedure="false">'INSERÇÃO-DE-DADOS_MÃO DE OBRA'!$E$21</definedName>
    <definedName function="false" hidden="false" name="QTDE_ESTIMADA_SERVENTES" vbProcedure="false">'QTDE-ESTIMADA-SERVENTES'!$E$29</definedName>
    <definedName function="false" hidden="false" name="RAMO" vbProcedure="false">'INSERÇÃO-DE-DADOS_MÃO DE OBRA'!$B$1</definedName>
    <definedName function="false" hidden="false" name="RELACAO_SERVENTES_ENCARREGADOS" vbProcedure="false">'INSERÇÃO-DE-DADOS_MÃO DE OBRA'!$L$14</definedName>
    <definedName function="false" hidden="false" name="SALARIO_NORMATIVO_ENC" vbProcedure="false">'INSERÇÃO-DE-DADOS_MÃO DE OBRA'!$F$19</definedName>
    <definedName function="false" hidden="false" name="SALARIO_NORMATIVO_SERV" vbProcedure="false">'INSERÇÃO-DE-DADOS_MÃO DE OBRA'!$F$20</definedName>
    <definedName function="false" hidden="false" name="SALARIO_NORMATIVO_SERV_HOSP" vbProcedure="false">'INSERÇÃO-DE-DADOS_MÃO DE OBRA'!$F$21</definedName>
    <definedName function="false" hidden="false" name="SAL_MINIMO" vbProcedure="false">'INSERÇÃO-DE-DADOS_MÃO DE OBRA'!$F$27</definedName>
    <definedName function="false" hidden="false" name="SERVENTE" vbProcedure="false">'INSERÇÃO-DE-DADOS_MÃO DE OBRA'!$C$20</definedName>
    <definedName function="false" hidden="false" name="SERVENTE_AREA_HOSPITALAR" vbProcedure="false">'INSERÇÃO-DE-DADOS_MÃO DE OBRA'!$C$21</definedName>
    <definedName function="false" hidden="false" name="TEMPO_INTERVALO_REFEICAO" vbProcedure="false">'INSERÇÃO-DE-DADOS_MÃO DE OBRA'!$F$64</definedName>
    <definedName function="false" hidden="false" name="TIPO_DE_SERVICO" vbProcedure="false">'INSERÇÃO-DE-DADOS_MÃO DE OBRA'!$E$24</definedName>
    <definedName function="false" hidden="false" name="TRANSPORTE_POR_DIA" vbProcedure="false">'INSERÇÃO-DE-DADOS_MÃO DE OBRA'!$F$45</definedName>
    <definedName function="false" hidden="false" name="UF" vbProcedure="false">'INSERÇÃO-DE-DADOS_MÃO DE OBRA'!$F$13</definedName>
    <definedName function="false" hidden="false" name="UG" vbProcedure="false">'INSERÇÃO-DE-DADOS_MÃO DE OBRA'!$B$2</definedName>
    <definedName function="false" hidden="false" name="UNIFORMES" vbProcedure="false">#REF!</definedName>
    <definedName function="false" hidden="false" name="VALOR_LIMITES_AREA_EXTERNA" vbProcedure="false">'CUSTO M² CG'!$H$57</definedName>
    <definedName function="false" hidden="false" name="VALOR_LIMITES_AREA_INTERNA" vbProcedure="false">'CUSTO M² CG'!$H$54</definedName>
    <definedName function="false" hidden="false" name="VALOR_LIMITES_ESQ_EXTERNA" vbProcedure="false">'CUSTO M² CG'!$H$60</definedName>
    <definedName function="false" hidden="false" name="VALOR_LIMITES_FACHADA_ENVID" vbProcedure="false">#REF!</definedName>
    <definedName function="false" hidden="false" name="VALOR_LIMITE_CONTRATACAO_POR_AREA" vbProcedure="false">'CUSTO M² CG'!$H$62</definedName>
    <definedName function="false" hidden="false" name="VALOR_TOTAL_SERV" vbProcedure="false">'SERVENTE CG'!$F$97</definedName>
    <definedName function="false" hidden="false" name="VALOR_TOTAL_SERV_HOSP" vbProcedure="false">#REF!</definedName>
    <definedName function="false" hidden="false" localSheetId="0" name="MOD_1_REMUNERACAO_ENC" vbProcedure="false">'INSERÇÃO-DE-DADOS_MÃO DE OBRA'!$F$26</definedName>
    <definedName function="false" hidden="false" localSheetId="0" name="MOD_2_ENCARGOS_BENEFICIOS_ENC" vbProcedure="false">'INSERÇÃO-DE-DADOS_MÃO DE OBRA'!$F$32+'INSERÇÃO-DE-DADOS_MÃO DE OBRA'!$F$48+'INSERÇÃO-DE-DADOS_MÃO DE OBRA'!$F$54</definedName>
    <definedName function="false" hidden="false" localSheetId="0" name="MOD_3_PROVISAO_RESCISAO_ENC" vbProcedure="false">'INSERÇÃO-DE-DADOS_MÃO DE OBRA'!$F$59</definedName>
    <definedName function="false" hidden="false" localSheetId="1" name="ACORDO_COLETIVO" vbProcedure="false">#REF!</definedName>
    <definedName function="false" hidden="false" localSheetId="1" name="ADIC_INSALUB_ENC" vbProcedure="false">#REF!</definedName>
    <definedName function="false" hidden="false" localSheetId="1" name="ADIC_INSALUB_SERV" vbProcedure="false">#REF!</definedName>
    <definedName function="false" hidden="false" localSheetId="1" name="ADIC_INSALUB_SERV_HOSP" vbProcedure="false">#REF!</definedName>
    <definedName function="false" hidden="false" localSheetId="1" name="ALIMENTACAO_POR_DIA" vbProcedure="false">#REF!</definedName>
    <definedName function="false" hidden="false" localSheetId="1" name="AREA_ESQ_EXTERNA_ANEXOS" vbProcedure="false">'INSERÇÃO-DE-DADOS_PRODUTIVIDADE'!$E$15</definedName>
    <definedName function="false" hidden="false" localSheetId="1" name="AREA_ESQ_EXTERNA_PTMS_PRMS" vbProcedure="false">'INSERÇÃO-DE-DADOS_PRODUTIVIDADE'!$F$15</definedName>
    <definedName function="false" hidden="false" localSheetId="1" name="AREA_ESQ_EXTERNA_SEDE" vbProcedure="false">'INSERÇÃO-DE-DADOS_PRODUTIVIDADE'!$D$15</definedName>
    <definedName function="false" hidden="false" localSheetId="1" name="AREA_ESQ_EXTERNA_TOTAL" vbProcedure="false">#REF!</definedName>
    <definedName function="false" hidden="false" localSheetId="1" name="AREA_EXTERNA_ANEXOS" vbProcedure="false">'INSERÇÃO-DE-DADOS_PRODUTIVIDADE'!$E$14</definedName>
    <definedName function="false" hidden="false" localSheetId="1" name="AREA_EXTERNA_PTMS_PRMS" vbProcedure="false">'INSERÇÃO-DE-DADOS_PRODUTIVIDADE'!$F$14</definedName>
    <definedName function="false" hidden="false" localSheetId="1" name="AREA_EXTERNA_SEDE" vbProcedure="false">'INSERÇÃO-DE-DADOS_PRODUTIVIDADE'!$D$14</definedName>
    <definedName function="false" hidden="false" localSheetId="1" name="AREA_EXTERNA_TOTAL" vbProcedure="false">#REF!</definedName>
    <definedName function="false" hidden="false" localSheetId="1" name="AREA_FACHADA_ENVID_ANEXOS" vbProcedure="false">'INSERÇÃO-DE-DADOS_PRODUTIVIDADE'!$E$16</definedName>
    <definedName function="false" hidden="false" localSheetId="1" name="AREA_FACHADA_ENVID_PTMS_PRMS" vbProcedure="false">'INSERÇÃO-DE-DADOS_PRODUTIVIDADE'!$F$16</definedName>
    <definedName function="false" hidden="false" localSheetId="1" name="AREA_FACHADA_ENVID_SEDE" vbProcedure="false">'INSERÇÃO-DE-DADOS_PRODUTIVIDADE'!$D$16</definedName>
    <definedName function="false" hidden="false" localSheetId="1" name="AREA_FACHADA_ENVID_TOTAL" vbProcedure="false">#REF!</definedName>
    <definedName function="false" hidden="false" localSheetId="1" name="AREA_INTERNA_ANEXOS" vbProcedure="false">'INSERÇÃO-DE-DADOS_PRODUTIVIDADE'!$E$9</definedName>
    <definedName function="false" hidden="false" localSheetId="1" name="AREA_INTERNA_PTMS_PRMS" vbProcedure="false">'INSERÇÃO-DE-DADOS_PRODUTIVIDADE'!$F$9</definedName>
    <definedName function="false" hidden="false" localSheetId="1" name="AREA_INTERNA_SEDE" vbProcedure="false">'INSERÇÃO-DE-DADOS_PRODUTIVIDADE'!$D$9</definedName>
    <definedName function="false" hidden="false" localSheetId="1" name="AREA_INTERNA_TOTAL" vbProcedure="false">#REF!</definedName>
    <definedName function="false" hidden="false" localSheetId="1" name="AREA_MED_HOSP_ANEXOS" vbProcedure="false">#REF!</definedName>
    <definedName function="false" hidden="false" localSheetId="1" name="AREA_MED_HOSP_PTMS_PRMS" vbProcedure="false">#REF!</definedName>
    <definedName function="false" hidden="false" localSheetId="1" name="AREA_MED_HOSP_SEDE" vbProcedure="false">#REF!</definedName>
    <definedName function="false" hidden="false" localSheetId="1" name="AREA_MED_HOSP_TOTAL" vbProcedure="false">#REF!</definedName>
    <definedName function="false" hidden="false" localSheetId="1" name="CATEGORIA_PROFISSIONAL_ENC" vbProcedure="false">#REF!</definedName>
    <definedName function="false" hidden="false" localSheetId="1" name="CATEGORIA_PROFISSIONAL_SERV" vbProcedure="false">#REF!</definedName>
    <definedName function="false" hidden="false" localSheetId="1" name="CATEGORIA_PROFISSIONAL_SERV_HOSP" vbProcedure="false">#REF!</definedName>
    <definedName function="false" hidden="false" localSheetId="1" name="CBO" vbProcedure="false">#REF!</definedName>
    <definedName function="false" hidden="false" localSheetId="1" name="DATA_APRESENTACAO_PROPOSTA" vbProcedure="false">#REF!</definedName>
    <definedName function="false" hidden="false" localSheetId="1" name="DATA_BASE_CATEGORIA" vbProcedure="false">#REF!</definedName>
    <definedName function="false" hidden="false" localSheetId="1" name="DATA_DO_ORCAMENTO_ESTIMATIVO" vbProcedure="false">#REF!</definedName>
    <definedName function="false" hidden="false" localSheetId="1" name="DATA_LICITACAO" vbProcedure="false">#REF!</definedName>
    <definedName function="false" hidden="false" localSheetId="1" name="DIAS_TRABALHADOS_NO_MES" vbProcedure="false">#REF!</definedName>
    <definedName function="false" hidden="false" localSheetId="1" name="ENCARREGADO_DE_LIMPEZA" vbProcedure="false">#REF!</definedName>
    <definedName function="false" hidden="false" localSheetId="1" name="EQUIPAMENTOS" vbProcedure="false">#REF!</definedName>
    <definedName function="false" hidden="false" localSheetId="1" name="FREQ_ESQ_EXTERNA" vbProcedure="false">'INSERÇÃO-DE-DADOS_PRODUTIVIDADE'!$L$15</definedName>
    <definedName function="false" hidden="false" localSheetId="1" name="FREQ_FACHADA_ENVID" vbProcedure="false">'INSERÇÃO-DE-DADOS_PRODUTIVIDADE'!$L$16</definedName>
    <definedName function="false" hidden="false" localSheetId="1" name="HORARIO_LICITACAO" vbProcedure="false">#REF!</definedName>
    <definedName function="false" hidden="false" localSheetId="1" name="LOCAL_DE_EXECUCAO" vbProcedure="false">#REF!</definedName>
    <definedName function="false" hidden="false" localSheetId="1" name="MATERIAIS" vbProcedure="false">#REF!</definedName>
    <definedName function="false" hidden="false" localSheetId="1" name="MODALIDADE_DE_LICITACAO" vbProcedure="false">#REF!</definedName>
    <definedName function="false" hidden="false" localSheetId="1" name="NUMERO_MESES_EXEC_CONTRATUAL" vbProcedure="false">#REF!</definedName>
    <definedName function="false" hidden="false" localSheetId="1" name="NUMERO_PREGAO" vbProcedure="false">#REF!</definedName>
    <definedName function="false" hidden="false" localSheetId="1" name="NUMERO_PROCESSO" vbProcedure="false">#REF!</definedName>
    <definedName function="false" hidden="false" localSheetId="1" name="OUTRAS_AUSENCIAS_DESCRICAO" vbProcedure="false">#REF!</definedName>
    <definedName function="false" hidden="false" localSheetId="1" name="OUTROS_BENEFICIOS_1" vbProcedure="false">#REF!</definedName>
    <definedName function="false" hidden="false" localSheetId="1" name="OUTROS_BENEFICIOS_1_DESCRICAO" vbProcedure="false">#REF!</definedName>
    <definedName function="false" hidden="false" localSheetId="1" name="OUTROS_BENEFICIOS_2" vbProcedure="false">#REF!</definedName>
    <definedName function="false" hidden="false" localSheetId="1" name="OUTROS_BENEFICIOS_2_DESCRICAO" vbProcedure="false">#REF!</definedName>
    <definedName function="false" hidden="false" localSheetId="1" name="OUTROS_BENEFICIOS_3" vbProcedure="false">#REF!</definedName>
    <definedName function="false" hidden="false" localSheetId="1" name="OUTROS_BENEFICIOS_3_DESCRICAO" vbProcedure="false">#REF!</definedName>
    <definedName function="false" hidden="false" localSheetId="1" name="OUTROS_INSUMOS" vbProcedure="false">#REF!</definedName>
    <definedName function="false" hidden="false" localSheetId="1" name="OUTROS_INSUMOS_DESCRICAO" vbProcedure="false">#REF!</definedName>
    <definedName function="false" hidden="false" localSheetId="1" name="OUTROS_REMUNERACAO_1" vbProcedure="false">#REF!</definedName>
    <definedName function="false" hidden="false" localSheetId="1" name="OUTROS_REMUNERACAO_1_DESCRICAO" vbProcedure="false">#REF!</definedName>
    <definedName function="false" hidden="false" localSheetId="1" name="OUTROS_REMUNERACAO_2" vbProcedure="false">#REF!</definedName>
    <definedName function="false" hidden="false" localSheetId="1" name="OUTROS_REMUNERACAO_2_DESCRICAO" vbProcedure="false">#REF!</definedName>
    <definedName function="false" hidden="false" localSheetId="1" name="OUTROS_REMUNERACAO_3" vbProcedure="false">#REF!</definedName>
    <definedName function="false" hidden="false" localSheetId="1" name="OUTROS_REMUNERACAO_3_DESCRICAO" vbProcedure="false">#REF!</definedName>
    <definedName function="false" hidden="false" localSheetId="1" name="PERC_ADIC_INSALUB" vbProcedure="false">#REF!</definedName>
    <definedName function="false" hidden="false" localSheetId="1" name="PERC_COFINS" vbProcedure="false">#REF!</definedName>
    <definedName function="false" hidden="false" localSheetId="1" name="PERC_CUSTOS_INDIRETOS" vbProcedure="false">#REF!</definedName>
    <definedName function="false" hidden="false" localSheetId="1" name="PERC_HORA_EXTRA" vbProcedure="false">#REF!</definedName>
    <definedName function="false" hidden="false" localSheetId="1" name="PERC_ISS" vbProcedure="false">#REF!</definedName>
    <definedName function="false" hidden="false" localSheetId="1" name="PERC_LUCRO" vbProcedure="false">#REF!</definedName>
    <definedName function="false" hidden="false" localSheetId="1" name="PERC_PIS" vbProcedure="false">#REF!</definedName>
    <definedName function="false" hidden="false" localSheetId="1" name="PERC_SUBSTITUTO_OUTRAS_AUSENCIAS" vbProcedure="false">#REF!</definedName>
    <definedName function="false" hidden="false" localSheetId="1" name="PORTARIA_LIMITES" vbProcedure="false">'INSERÇÃO-DE-DADOS_PRODUTIVIDADE'!$L$4</definedName>
    <definedName function="false" hidden="false" localSheetId="1" name="PRODUT_AREA_ESQ_EXTERNA" vbProcedure="false">'INSERÇÃO-DE-DADOS_PRODUTIVIDADE'!$H$15</definedName>
    <definedName function="false" hidden="false" localSheetId="1" name="PRODUT_AREA_EXTERNA" vbProcedure="false">'INSERÇÃO-DE-DADOS_PRODUTIVIDADE'!$H$14</definedName>
    <definedName function="false" hidden="false" localSheetId="1" name="PRODUT_AREA_FACHADA_ENVID" vbProcedure="false">'INSERÇÃO-DE-DADOS_PRODUTIVIDADE'!$H$16</definedName>
    <definedName function="false" hidden="false" localSheetId="1" name="PRODUT_AREA_HOSPITALAR" vbProcedure="false">#REF!</definedName>
    <definedName function="false" hidden="false" localSheetId="1" name="PRODUT_AREA_INTERNA" vbProcedure="false">'INSERÇÃO-DE-DADOS_PRODUTIVIDADE'!$H$9</definedName>
    <definedName function="false" hidden="false" localSheetId="1" name="QTDE_DE_ENC" vbProcedure="false">#REF!</definedName>
    <definedName function="false" hidden="false" localSheetId="1" name="QTDE_DE_SERV" vbProcedure="false">#REF!</definedName>
    <definedName function="false" hidden="false" localSheetId="1" name="QTDE_DE_SERV_HOSP" vbProcedure="false">#REF!</definedName>
    <definedName function="false" hidden="false" localSheetId="1" name="RAMO" vbProcedure="false">#REF!</definedName>
    <definedName function="false" hidden="false" localSheetId="1" name="RELACAO_SERVENTES_ENCARREGADOS" vbProcedure="false">'INSERÇÃO-DE-DADOS_PRODUTIVIDADE'!$L$17</definedName>
    <definedName function="false" hidden="false" localSheetId="1" name="SALARIO_NORMATIVO_ENC" vbProcedure="false">#REF!</definedName>
    <definedName function="false" hidden="false" localSheetId="1" name="SALARIO_NORMATIVO_SERV" vbProcedure="false">#REF!</definedName>
    <definedName function="false" hidden="false" localSheetId="1" name="SALARIO_NORMATIVO_SERV_HOSP" vbProcedure="false">#REF!</definedName>
    <definedName function="false" hidden="false" localSheetId="1" name="SAL_MINIMO" vbProcedure="false">#REF!</definedName>
    <definedName function="false" hidden="false" localSheetId="1" name="SERVENTE" vbProcedure="false">#REF!</definedName>
    <definedName function="false" hidden="false" localSheetId="1" name="SERVENTE_AREA_HOSPITALAR" vbProcedure="false">#REF!</definedName>
    <definedName function="false" hidden="false" localSheetId="1" name="TEMPO_INTERVALO_REFEICAO" vbProcedure="false">#REF!</definedName>
    <definedName function="false" hidden="false" localSheetId="1" name="TIPO_DE_SERVICO" vbProcedure="false">#REF!</definedName>
    <definedName function="false" hidden="false" localSheetId="1" name="TRANSPORTE_POR_DIA" vbProcedure="false">#REF!</definedName>
    <definedName function="false" hidden="false" localSheetId="1" name="UF" vbProcedure="false">#REF!</definedName>
    <definedName function="false" hidden="false" localSheetId="1" name="UG" vbProcedure="false">#REF!</definedName>
    <definedName function="false" hidden="false" localSheetId="1" name="UNIFORMES" vbProcedure="false">#REF!</definedName>
    <definedName function="false" hidden="false" localSheetId="4" name="AL_1_A_SAL_BASE_ENC" vbProcedure="false">ENCARREGADO!$F$21</definedName>
    <definedName function="false" hidden="false" localSheetId="4" name="AL_1_C_OUTROS_REM_1_ENC" vbProcedure="false">ENCARREGADO!$F$23</definedName>
    <definedName function="false" hidden="false" localSheetId="4" name="AL_2_1_A_DEC_TERC_SERV" vbProcedure="false">'SERVENTE CG'!$F$30</definedName>
    <definedName function="false" hidden="false" localSheetId="4" name="AL_2_1_B_ADIC_FERIAS_ENC" vbProcedure="false">ENCARREGADO!$F$31</definedName>
    <definedName function="false" hidden="false" localSheetId="4" name="AL_2_2_FGTS_ENC" vbProcedure="false">ENCARREGADO!$F$42</definedName>
    <definedName function="false" hidden="false" localSheetId="4" name="AL_2_3_A_TRANSP_ENC" vbProcedure="false">ENCARREGADO!$F$46</definedName>
    <definedName function="false" hidden="false" localSheetId="4" name="AL_2_3_B_AUX_ALIMENT_ENC" vbProcedure="false">ENCARREGADO!$F$47</definedName>
    <definedName function="false" hidden="false" localSheetId="4" name="AL_2_3_C_OUTROS_BENEF_1_ENC" vbProcedure="false">ENCARREGADO!$F$48</definedName>
    <definedName function="false" hidden="false" localSheetId="4" name="AL_2_A_ATE_2_G_GPS_ENC" vbProcedure="false">ENCARREGADO!$F$35:$F$41</definedName>
    <definedName function="false" hidden="false" localSheetId="4" name="AL_6_A_CUSTOS_INDIRETOS_ENC" vbProcedure="false">ENCARREGADO!$F$81</definedName>
    <definedName function="false" hidden="false" localSheetId="4" name="AL_6_B_LUCRO_ENC" vbProcedure="false">ENCARREGADO!$F$82</definedName>
    <definedName function="false" hidden="false" localSheetId="4" name="AL_6_C_1_PIS_ENC" vbProcedure="false">ENCARREGADO!$F$84</definedName>
    <definedName function="false" hidden="false" localSheetId="4" name="AL_6_C_2_COFINS_ENC" vbProcedure="false">ENCARREGADO!$F$85</definedName>
    <definedName function="false" hidden="false" localSheetId="4" name="AL_6_C_3_ISS_ENC" vbProcedure="false">ENCARREGADO!$F$86</definedName>
    <definedName function="false" hidden="false" localSheetId="4" name="AL_6_C_TRIBUTOS_ENC" vbProcedure="false">ENCARREGADO!$F$83</definedName>
    <definedName function="false" hidden="false" localSheetId="4" name="MOD_1_REMUNERACAO_ENC" vbProcedure="false">ENCARREGADO!$F$26</definedName>
    <definedName function="false" hidden="false" localSheetId="4" name="MOD_2_ENCARGOS_BENEFICIOS_ENC" vbProcedure="false">ENCARREGADO!$F$32+ENCARREGADO!$F$43+ENCARREGADO!$F$51</definedName>
    <definedName function="false" hidden="false" localSheetId="4" name="MOD_3_PROVISAO_RESCISAO_ENC" vbProcedure="false">ENCARREGADO!$F$57</definedName>
    <definedName function="false" hidden="false" localSheetId="4" name="MOD_4_CUSTO_REPOSICAO_ENC" vbProcedure="false">ENCARREGADO!$F$67+ENCARREGADO!$F$71</definedName>
    <definedName function="false" hidden="false" localSheetId="4" name="MOD_5_INSUMOS_ENC" vbProcedure="false">ENCARREGADO!$F$78</definedName>
    <definedName function="false" hidden="false" localSheetId="4" name="MOD_6_CUSTOS_IND_LUCRO_TRIB_ENC" vbProcedure="false">ENCARREGADO!$F$87</definedName>
    <definedName function="false" hidden="false" localSheetId="4" name="PERC_MOD_3_PROVISAO_RESCISAO" vbProcedure="false">ENCARREGADO!$E$57</definedName>
    <definedName function="false" hidden="false" localSheetId="4" name="PERC_TRIBUTOS" vbProcedure="false">ENCARREGADO!$E$83</definedName>
    <definedName function="false" hidden="false" localSheetId="4" name="SUBMOD_2_1_DEC_TERC_ADIC_FERIAS_ENC" vbProcedure="false">ENCARREGADO!$F$32</definedName>
    <definedName function="false" hidden="false" localSheetId="4" name="SUBMOD_2_2_GPS_FGTS_ENC" vbProcedure="false">ENCARREGADO!$F$43</definedName>
    <definedName function="false" hidden="false" localSheetId="4" name="SUBMOD_2_3_BENEFICIOS_ENC" vbProcedure="false">ENCARREGADO!$F$51</definedName>
    <definedName function="false" hidden="false" localSheetId="4" name="SUBMOD_4_1_SUBSTITUTO_ENC" vbProcedure="false">ENCARREGADO!$F$67</definedName>
    <definedName function="false" hidden="false" localSheetId="4" name="SUBMOD_4_2_INTRAJORNADA_ENC" vbProcedure="false">ENCARREGADO!$F$71</definedName>
    <definedName function="false" hidden="false" localSheetId="4" name="VALOR_TOTAL_ENC" vbProcedure="false">ENCARREGADO!$F$96</definedName>
    <definedName function="false" hidden="false" localSheetId="4" name="VALOR_TOTAL_SERV" vbProcedure="false">'SERVENTE CG'!$F$97</definedName>
    <definedName function="false" hidden="false" localSheetId="5" name="AL_1_A_SAL_BASE_SERV" vbProcedure="false">'SERVENTE CG'!$F$21</definedName>
    <definedName function="false" hidden="false" localSheetId="5" name="AL_1_E_OUTROS_REM_3_ENC" vbProcedure="false">ENCARREGADO!$F$25</definedName>
    <definedName function="false" hidden="false" localSheetId="5" name="AL_2_1_A_DEC_TERC_ENC" vbProcedure="false">ENCARREGADO!$F$30</definedName>
    <definedName function="false" hidden="false" localSheetId="5" name="AL_2_1_B_ADIC_FERIAS_SERV" vbProcedure="false">'SERVENTE CG'!$F$31</definedName>
    <definedName function="false" hidden="false" localSheetId="5" name="AL_2_2_FGTS_SERV" vbProcedure="false">'SERVENTE CG'!$F$42</definedName>
    <definedName function="false" hidden="false" localSheetId="5" name="AL_2_3_A_TRANSP_SERV" vbProcedure="false">'SERVENTE CG'!$F$46</definedName>
    <definedName function="false" hidden="false" localSheetId="5" name="AL_2_3_B_AUX_ALIMENT_SERV" vbProcedure="false">'SERVENTE CG'!$F$47</definedName>
    <definedName function="false" hidden="false" localSheetId="5" name="AL_2_3_C_OUTROS_BENEF_1_SERV" vbProcedure="false">'SERVENTE CG'!$F$48</definedName>
    <definedName function="false" hidden="false" localSheetId="5" name="AL_2_A_ATE_2_G_GPS_SERV" vbProcedure="false">'SERVENTE CG'!$F$35:$F$41</definedName>
    <definedName function="false" hidden="false" localSheetId="5" name="AL_6_A_CUSTOS_INDIRETOS_SERV" vbProcedure="false">'SERVENTE CG'!$F$82</definedName>
    <definedName function="false" hidden="false" localSheetId="5" name="AL_6_B_LUCRO_SERV" vbProcedure="false">'SERVENTE CG'!$F$83</definedName>
    <definedName function="false" hidden="false" localSheetId="5" name="AL_6_C_1_PIS_SERV" vbProcedure="false">'SERVENTE CG'!$F$85</definedName>
    <definedName function="false" hidden="false" localSheetId="5" name="AL_6_C_2_COFINS_SERV" vbProcedure="false">'SERVENTE CG'!$F$86</definedName>
    <definedName function="false" hidden="false" localSheetId="5" name="AL_6_C_3_ISS_SERV" vbProcedure="false">'SERVENTE CG'!$F$87</definedName>
    <definedName function="false" hidden="false" localSheetId="5" name="AL_6_C_TRIBUTOS_SERV" vbProcedure="false">'SERVENTE CG'!$F$84</definedName>
    <definedName function="false" hidden="false" localSheetId="5" name="MOD_1_REMUNERACAO_ENC" vbProcedure="false">'SERVENTE CG'!$F$26</definedName>
    <definedName function="false" hidden="false" localSheetId="5" name="MOD_1_REMUNERACAO_SERV" vbProcedure="false">'SERVENTE CG'!$F$26</definedName>
    <definedName function="false" hidden="false" localSheetId="5" name="MOD_2_ENCARGOS_BENEFICIOS_ENC" vbProcedure="false">'SERVENTE CG'!$F$32+'SERVENTE CG'!$F$43+'SERVENTE CG'!$F$51</definedName>
    <definedName function="false" hidden="false" localSheetId="5" name="MOD_2_ENCARGOS_BENEFICIOS_SERV" vbProcedure="false">'SERVENTE CG'!$F$32+'SERVENTE CG'!$F$43+'SERVENTE CG'!$F$51</definedName>
    <definedName function="false" hidden="false" localSheetId="5" name="MOD_3_PROVISAO_RESCISAO_ENC" vbProcedure="false">'SERVENTE CG'!$F$57</definedName>
    <definedName function="false" hidden="false" localSheetId="5" name="MOD_3_PROVISAO_RESCISAO_SERV" vbProcedure="false">'SERVENTE CG'!$F$58</definedName>
    <definedName function="false" hidden="false" localSheetId="5" name="MOD_4_CUSTO_REPOSICAO_SERV" vbProcedure="false">'SERVENTE CG'!$F$68+'SERVENTE CG'!$F$72</definedName>
    <definedName function="false" hidden="false" localSheetId="5" name="MOD_5_INSUMOS_SERV" vbProcedure="false">'SERVENTE CG'!$F$79</definedName>
    <definedName function="false" hidden="false" localSheetId="5" name="MOD_6_CUSTOS_IND_LUCRO_TRIB_SERV" vbProcedure="false">'SERVENTE CG'!$F$88</definedName>
    <definedName function="false" hidden="false" localSheetId="5" name="PERC_MOD_3_PROVISAO_RESCISAO" vbProcedure="false">'SERVENTE CG'!$E$58</definedName>
    <definedName function="false" hidden="false" localSheetId="5" name="PERC_TRIBUTOS" vbProcedure="false">'SERVENTE CG'!$E$84</definedName>
    <definedName function="false" hidden="false" localSheetId="5" name="SUBMOD_2_1_DEC_TERC_ADIC_FERIAS_SERV" vbProcedure="false">'SERVENTE CG'!$F$32</definedName>
    <definedName function="false" hidden="false" localSheetId="5" name="SUBMOD_2_2_GPS_FGTS_SERV" vbProcedure="false">'SERVENTE CG'!$F$43</definedName>
    <definedName function="false" hidden="false" localSheetId="5" name="SUBMOD_2_3_BENEFICIOS_SERV" vbProcedure="false">'SERVENTE CG'!$F$51</definedName>
    <definedName function="false" hidden="false" localSheetId="5" name="SUBMOD_4_1_SUBSTITUTO_SERV" vbProcedure="false">'SERVENTE CG'!$F$68</definedName>
    <definedName function="false" hidden="false" localSheetId="5" name="SUBMOD_4_2_INTRAJORNADA_SERV" vbProcedure="false">'SERVENTE CG'!$F$72</definedName>
    <definedName function="false" hidden="false" localSheetId="5" name="VALOR_TOTAL_SERV_HOSP" vbProcedure="false">#REF!</definedName>
    <definedName function="false" hidden="false" localSheetId="7" name="AL_1_A_SAL_BASE_SERV" vbProcedure="false">'SERVENTE DOU'!$F$21</definedName>
    <definedName function="false" hidden="false" localSheetId="7" name="AL_1_C_OUTROS_REM_1_SERV" vbProcedure="false">'SERVENTE DOU'!$F$23</definedName>
    <definedName function="false" hidden="false" localSheetId="7" name="AL_1_D_OUTROS_REM_2_SERV" vbProcedure="false">'SERVENTE DOU'!$F$24</definedName>
    <definedName function="false" hidden="false" localSheetId="7" name="AL_1_E_OUTROS_REM_3_ENC" vbProcedure="false">ENCARREGADO!$F$25</definedName>
    <definedName function="false" hidden="false" localSheetId="7" name="AL_1_E_OUTROS_REM_3_SERV" vbProcedure="false">'SERVENTE DOU'!$F$25</definedName>
    <definedName function="false" hidden="false" localSheetId="7" name="AL_2_1_A_DEC_TERC_ENC" vbProcedure="false">ENCARREGADO!$F$30</definedName>
    <definedName function="false" hidden="false" localSheetId="7" name="AL_2_1_B_ADIC_FERIAS_SERV" vbProcedure="false">'SERVENTE DOU'!$F$31</definedName>
    <definedName function="false" hidden="false" localSheetId="7" name="AL_2_2_FGTS_SERV" vbProcedure="false">'SERVENTE DOU'!$F$42</definedName>
    <definedName function="false" hidden="false" localSheetId="7" name="AL_2_3_A_TRANSP_SERV" vbProcedure="false">'SERVENTE DOU'!$F$46</definedName>
    <definedName function="false" hidden="false" localSheetId="7" name="AL_2_3_B_AUX_ALIMENT_SERV" vbProcedure="false">'SERVENTE DOU'!$F$47</definedName>
    <definedName function="false" hidden="false" localSheetId="7" name="AL_2_3_C_OUTROS_BENEF_1_SERV" vbProcedure="false">'SERVENTE DOU'!$F$48</definedName>
    <definedName function="false" hidden="false" localSheetId="7" name="AL_2_A_ATE_2_G_GPS_SERV" vbProcedure="false">'SERVENTE DOU'!$F$35:$F$41</definedName>
    <definedName function="false" hidden="false" localSheetId="7" name="AL_6_A_CUSTOS_INDIRETOS_SERV" vbProcedure="false">'SERVENTE DOU'!$F$81</definedName>
    <definedName function="false" hidden="false" localSheetId="7" name="AL_6_B_LUCRO_SERV" vbProcedure="false">'SERVENTE DOU'!$F$82</definedName>
    <definedName function="false" hidden="false" localSheetId="7" name="AL_6_C_1_PIS_SERV" vbProcedure="false">'SERVENTE DOU'!$F$84</definedName>
    <definedName function="false" hidden="false" localSheetId="7" name="AL_6_C_2_COFINS_SERV" vbProcedure="false">'SERVENTE DOU'!$F$85</definedName>
    <definedName function="false" hidden="false" localSheetId="7" name="AL_6_C_3_ISS_SERV" vbProcedure="false">'SERVENTE DOU'!$F$86</definedName>
    <definedName function="false" hidden="false" localSheetId="7" name="AL_6_C_TRIBUTOS_SERV" vbProcedure="false">'SERVENTE DOU'!$F$83</definedName>
    <definedName function="false" hidden="false" localSheetId="7" name="MOD_1_REMUNERACAO_ENC" vbProcedure="false">'SERVENTE DOU'!$F$26</definedName>
    <definedName function="false" hidden="false" localSheetId="7" name="MOD_1_REMUNERACAO_SERV" vbProcedure="false">'SERVENTE DOU'!$F$26</definedName>
    <definedName function="false" hidden="false" localSheetId="7" name="MOD_2_ENCARGOS_BENEFICIOS_ENC" vbProcedure="false">'SERVENTE DOU'!$F$32+'SERVENTE DOU'!$F$43+'SERVENTE DOU'!$F$51</definedName>
    <definedName function="false" hidden="false" localSheetId="7" name="MOD_2_ENCARGOS_BENEFICIOS_SERV" vbProcedure="false">'SERVENTE DOU'!$F$32+'SERVENTE DOU'!$F$43+'SERVENTE DOU'!$F$51</definedName>
    <definedName function="false" hidden="false" localSheetId="7" name="MOD_3_PROVISAO_RESCISAO_ENC" vbProcedure="false">'SERVENTE DOU'!$F$56</definedName>
    <definedName function="false" hidden="false" localSheetId="7" name="MOD_3_PROVISAO_RESCISAO_SERV" vbProcedure="false">'SERVENTE DOU'!$F$57</definedName>
    <definedName function="false" hidden="false" localSheetId="7" name="MOD_4_CUSTO_REPOSICAO_SERV" vbProcedure="false">'SERVENTE DOU'!$F$67+'SERVENTE DOU'!$F$71</definedName>
    <definedName function="false" hidden="false" localSheetId="7" name="MOD_5_INSUMOS_SERV" vbProcedure="false">'SERVENTE DOU'!$F$78</definedName>
    <definedName function="false" hidden="false" localSheetId="7" name="MOD_6_CUSTOS_IND_LUCRO_TRIB_SERV" vbProcedure="false">'SERVENTE DOU'!$F$87</definedName>
    <definedName function="false" hidden="false" localSheetId="7" name="PERC_MOD_3_PROVISAO_RESCISAO" vbProcedure="false">'SERVENTE DOU'!$E$57</definedName>
    <definedName function="false" hidden="false" localSheetId="7" name="PERC_TRIBUTOS" vbProcedure="false">'SERVENTE DOU'!$E$83</definedName>
    <definedName function="false" hidden="false" localSheetId="7" name="SUBMOD_2_1_DEC_TERC_ADIC_FERIAS_SERV" vbProcedure="false">'SERVENTE DOU'!$F$32</definedName>
    <definedName function="false" hidden="false" localSheetId="7" name="SUBMOD_2_2_GPS_FGTS_SERV" vbProcedure="false">'SERVENTE DOU'!$F$43</definedName>
    <definedName function="false" hidden="false" localSheetId="7" name="SUBMOD_2_3_BENEFICIOS_SERV" vbProcedure="false">'SERVENTE DOU'!$F$51</definedName>
    <definedName function="false" hidden="false" localSheetId="7" name="SUBMOD_4_1_SUBSTITUTO_SERV" vbProcedure="false">'SERVENTE DOU'!$F$67</definedName>
    <definedName function="false" hidden="false" localSheetId="7" name="SUBMOD_4_2_INTRAJORNADA_SERV" vbProcedure="false">'SERVENTE DOU'!$F$71</definedName>
    <definedName function="false" hidden="false" localSheetId="7" name="VALOR_TOTAL_SERV" vbProcedure="false">'SERVENTE DOU'!$F$96</definedName>
    <definedName function="false" hidden="false" localSheetId="7" name="VALOR_TOTAL_SERV_HOSP" vbProcedure="false">#REF!</definedName>
    <definedName function="false" hidden="false" localSheetId="8" name="COEF_KI_ESQ_EXTERNA_ENC" vbProcedure="false">#REF!</definedName>
    <definedName function="false" hidden="false" localSheetId="8" name="COEF_KI_ESQ_EXTERNA_SERV" vbProcedure="false">'CUSTO M² DOU'!$G$29</definedName>
    <definedName function="false" hidden="false" localSheetId="8" name="CUSTO_M2_AREA_EXTERNA_ENC" vbProcedure="false">#REF!</definedName>
    <definedName function="false" hidden="false" localSheetId="8" name="CUSTO_M2_AREA_INTERNA" vbProcedure="false">#REF!</definedName>
    <definedName function="false" hidden="false" localSheetId="8" name="CUSTO_M2_AREA_INTERNA_ENC" vbProcedure="false">#REF!</definedName>
    <definedName function="false" hidden="false" localSheetId="8" name="CUSTO_M2_ESQ_EXTERNA" vbProcedure="false">#REF!</definedName>
    <definedName function="false" hidden="false" localSheetId="8" name="CUSTO_M2_ESQ_EXTERNA_ENC" vbProcedure="false">#REF!</definedName>
    <definedName function="false" hidden="false" localSheetId="8" name="CUSTO_M2_ESQ_EXTERNA_SERV" vbProcedure="false">'CUSTO M² DOU'!$I$29</definedName>
    <definedName function="false" hidden="false" localSheetId="8" name="JORNADA_MES_ESQ_EXTERNA_ENC" vbProcedure="false">#REF!</definedName>
    <definedName function="false" hidden="false" localSheetId="8" name="JORNADA_MES_ESQ_EXTERNA_SERV" vbProcedure="false">'CUSTO M² DOU'!$F$29</definedName>
    <definedName function="false" hidden="false" localSheetId="8" name="VALOR_LIMITES_AREA_EXTERNA" vbProcedure="false">'CUSTO M² DOU'!$H$41</definedName>
    <definedName function="false" hidden="false" localSheetId="8" name="VALOR_LIMITES_AREA_INTERNA" vbProcedure="false">'CUSTO M² DOU'!$H$38</definedName>
    <definedName function="false" hidden="false" localSheetId="8" name="VALOR_LIMITES_ESQ_EXTERNA" vbProcedure="false">'CUSTO M² DOU'!$H$44</definedName>
    <definedName function="false" hidden="false" localSheetId="8" name="VALOR_LIMITE_CONTRATACAO_POR_AREA" vbProcedure="false">'CUSTO M² DOU'!$H$46</definedName>
    <definedName function="false" hidden="false" localSheetId="9" name="AL_1_A_SAL_BASE_SERV" vbProcedure="false">'SERVENTE TL'!$F$21</definedName>
    <definedName function="false" hidden="false" localSheetId="9" name="AL_1_C_OUTROS_REM_1_SERV" vbProcedure="false">'SERVENTE TL'!$F$23</definedName>
    <definedName function="false" hidden="false" localSheetId="9" name="AL_1_D_OUTROS_REM_2_SERV" vbProcedure="false">'SERVENTE TL'!$F$24</definedName>
    <definedName function="false" hidden="false" localSheetId="9" name="AL_1_E_OUTROS_REM_3_ENC" vbProcedure="false">ENCARREGADO!$F$25</definedName>
    <definedName function="false" hidden="false" localSheetId="9" name="AL_1_E_OUTROS_REM_3_SERV" vbProcedure="false">'SERVENTE TL'!$F$25</definedName>
    <definedName function="false" hidden="false" localSheetId="9" name="AL_2_1_A_DEC_TERC_ENC" vbProcedure="false">ENCARREGADO!$F$30</definedName>
    <definedName function="false" hidden="false" localSheetId="9" name="AL_2_1_B_ADIC_FERIAS_SERV" vbProcedure="false">'SERVENTE TL'!$F$31</definedName>
    <definedName function="false" hidden="false" localSheetId="9" name="AL_2_2_FGTS_SERV" vbProcedure="false">'SERVENTE TL'!$F$42</definedName>
    <definedName function="false" hidden="false" localSheetId="9" name="AL_2_3_A_TRANSP_SERV" vbProcedure="false">'SERVENTE TL'!$F$46</definedName>
    <definedName function="false" hidden="false" localSheetId="9" name="AL_2_3_B_AUX_ALIMENT_SERV" vbProcedure="false">'SERVENTE TL'!$F$47</definedName>
    <definedName function="false" hidden="false" localSheetId="9" name="AL_2_3_C_OUTROS_BENEF_1_SERV" vbProcedure="false">'SERVENTE TL'!$F$48</definedName>
    <definedName function="false" hidden="false" localSheetId="9" name="AL_2_A_ATE_2_G_GPS_SERV" vbProcedure="false">'SERVENTE TL'!$F$35:$F$41</definedName>
    <definedName function="false" hidden="false" localSheetId="9" name="AL_6_A_CUSTOS_INDIRETOS_SERV" vbProcedure="false">'SERVENTE TL'!$F$81</definedName>
    <definedName function="false" hidden="false" localSheetId="9" name="AL_6_B_LUCRO_SERV" vbProcedure="false">'SERVENTE TL'!$F$82</definedName>
    <definedName function="false" hidden="false" localSheetId="9" name="AL_6_C_1_PIS_SERV" vbProcedure="false">'SERVENTE TL'!$F$84</definedName>
    <definedName function="false" hidden="false" localSheetId="9" name="AL_6_C_2_COFINS_SERV" vbProcedure="false">'SERVENTE TL'!$F$85</definedName>
    <definedName function="false" hidden="false" localSheetId="9" name="AL_6_C_3_ISS_SERV" vbProcedure="false">'SERVENTE TL'!$F$86</definedName>
    <definedName function="false" hidden="false" localSheetId="9" name="AL_6_C_TRIBUTOS_SERV" vbProcedure="false">'SERVENTE TL'!$F$83</definedName>
    <definedName function="false" hidden="false" localSheetId="9" name="MOD_1_REMUNERACAO_ENC" vbProcedure="false">'SERVENTE TL'!$F$26</definedName>
    <definedName function="false" hidden="false" localSheetId="9" name="MOD_1_REMUNERACAO_SERV" vbProcedure="false">'SERVENTE TL'!$F$26</definedName>
    <definedName function="false" hidden="false" localSheetId="9" name="MOD_2_ENCARGOS_BENEFICIOS_ENC" vbProcedure="false">'SERVENTE TL'!$F$32+'SERVENTE TL'!$F$43+'SERVENTE TL'!$F$51</definedName>
    <definedName function="false" hidden="false" localSheetId="9" name="MOD_2_ENCARGOS_BENEFICIOS_SERV" vbProcedure="false">'SERVENTE TL'!$F$32+'SERVENTE TL'!$F$43+'SERVENTE TL'!$F$51</definedName>
    <definedName function="false" hidden="false" localSheetId="9" name="MOD_3_PROVISAO_RESCISAO_ENC" vbProcedure="false">'SERVENTE TL'!$F$56</definedName>
    <definedName function="false" hidden="false" localSheetId="9" name="MOD_3_PROVISAO_RESCISAO_SERV" vbProcedure="false">'SERVENTE TL'!$F$57</definedName>
    <definedName function="false" hidden="false" localSheetId="9" name="MOD_4_CUSTO_REPOSICAO_SERV" vbProcedure="false">'SERVENTE TL'!$F$67+'SERVENTE TL'!$F$71</definedName>
    <definedName function="false" hidden="false" localSheetId="9" name="MOD_5_INSUMOS_SERV" vbProcedure="false">'SERVENTE TL'!$F$78</definedName>
    <definedName function="false" hidden="false" localSheetId="9" name="MOD_6_CUSTOS_IND_LUCRO_TRIB_SERV" vbProcedure="false">'SERVENTE TL'!$F$87</definedName>
    <definedName function="false" hidden="false" localSheetId="9" name="PERC_MOD_3_PROVISAO_RESCISAO" vbProcedure="false">'SERVENTE TL'!$E$57</definedName>
    <definedName function="false" hidden="false" localSheetId="9" name="PERC_TRIBUTOS" vbProcedure="false">'SERVENTE TL'!$E$83</definedName>
    <definedName function="false" hidden="false" localSheetId="9" name="SUBMOD_2_1_DEC_TERC_ADIC_FERIAS_SERV" vbProcedure="false">'SERVENTE TL'!$F$32</definedName>
    <definedName function="false" hidden="false" localSheetId="9" name="SUBMOD_2_2_GPS_FGTS_SERV" vbProcedure="false">'SERVENTE TL'!$F$43</definedName>
    <definedName function="false" hidden="false" localSheetId="9" name="SUBMOD_2_3_BENEFICIOS_SERV" vbProcedure="false">'SERVENTE TL'!$F$51</definedName>
    <definedName function="false" hidden="false" localSheetId="9" name="SUBMOD_4_1_SUBSTITUTO_SERV" vbProcedure="false">'SERVENTE TL'!$F$67</definedName>
    <definedName function="false" hidden="false" localSheetId="9" name="SUBMOD_4_2_INTRAJORNADA_SERV" vbProcedure="false">'SERVENTE TL'!$F$71</definedName>
    <definedName function="false" hidden="false" localSheetId="9" name="VALOR_TOTAL_SERV" vbProcedure="false">'SERVENTE TL'!$F$96</definedName>
    <definedName function="false" hidden="false" localSheetId="9" name="VALOR_TOTAL_SERV_HOSP" vbProcedure="false">#REF!</definedName>
    <definedName function="false" hidden="false" localSheetId="10" name="COEF_KI_ESQ_EXTERNA_ENC" vbProcedure="false">#REF!</definedName>
    <definedName function="false" hidden="false" localSheetId="10" name="COEF_KI_ESQ_EXTERNA_SERV" vbProcedure="false">'CUSTO M² TL'!$G$29</definedName>
    <definedName function="false" hidden="false" localSheetId="10" name="CUSTO_M2_AREA_EXTERNA_ENC" vbProcedure="false">#REF!</definedName>
    <definedName function="false" hidden="false" localSheetId="10" name="CUSTO_M2_AREA_INTERNA" vbProcedure="false">#REF!</definedName>
    <definedName function="false" hidden="false" localSheetId="10" name="CUSTO_M2_AREA_INTERNA_ENC" vbProcedure="false">#REF!</definedName>
    <definedName function="false" hidden="false" localSheetId="10" name="CUSTO_M2_ESQ_EXTERNA" vbProcedure="false">#REF!</definedName>
    <definedName function="false" hidden="false" localSheetId="10" name="CUSTO_M2_ESQ_EXTERNA_ENC" vbProcedure="false">#REF!</definedName>
    <definedName function="false" hidden="false" localSheetId="10" name="CUSTO_M2_ESQ_EXTERNA_SERV" vbProcedure="false">'CUSTO M² TL'!$I$29</definedName>
    <definedName function="false" hidden="false" localSheetId="10" name="JORNADA_MES_ESQ_EXTERNA_ENC" vbProcedure="false">#REF!</definedName>
    <definedName function="false" hidden="false" localSheetId="10" name="JORNADA_MES_ESQ_EXTERNA_SERV" vbProcedure="false">'CUSTO M² TL'!$F$29</definedName>
    <definedName function="false" hidden="false" localSheetId="10" name="VALOR_LIMITES_AREA_EXTERNA" vbProcedure="false">'CUSTO M² TL'!$H$41</definedName>
    <definedName function="false" hidden="false" localSheetId="10" name="VALOR_LIMITES_AREA_INTERNA" vbProcedure="false">'CUSTO M² TL'!$H$38</definedName>
    <definedName function="false" hidden="false" localSheetId="10" name="VALOR_LIMITES_ESQ_EXTERNA" vbProcedure="false">'CUSTO M² TL'!$H$44</definedName>
    <definedName function="false" hidden="false" localSheetId="10" name="VALOR_LIMITE_CONTRATACAO_POR_AREA" vbProcedure="false">'CUSTO M² TL'!$H$46</definedName>
    <definedName function="false" hidden="false" localSheetId="11" name="AL_1_A_SAL_BASE_SERV" vbProcedure="false">'SERVENTE COR'!$F$21</definedName>
    <definedName function="false" hidden="false" localSheetId="11" name="AL_1_C_OUTROS_REM_1_SERV" vbProcedure="false">'SERVENTE COR'!$F$23</definedName>
    <definedName function="false" hidden="false" localSheetId="11" name="AL_1_D_OUTROS_REM_2_SERV" vbProcedure="false">'SERVENTE COR'!$F$24</definedName>
    <definedName function="false" hidden="false" localSheetId="11" name="AL_1_E_OUTROS_REM_3_ENC" vbProcedure="false">ENCARREGADO!$F$25</definedName>
    <definedName function="false" hidden="false" localSheetId="11" name="AL_1_E_OUTROS_REM_3_SERV" vbProcedure="false">'SERVENTE COR'!$F$25</definedName>
    <definedName function="false" hidden="false" localSheetId="11" name="AL_2_1_A_DEC_TERC_ENC" vbProcedure="false">ENCARREGADO!$F$30</definedName>
    <definedName function="false" hidden="false" localSheetId="11" name="AL_2_1_B_ADIC_FERIAS_SERV" vbProcedure="false">'SERVENTE COR'!$F$31</definedName>
    <definedName function="false" hidden="false" localSheetId="11" name="AL_2_2_FGTS_SERV" vbProcedure="false">'SERVENTE COR'!$F$42</definedName>
    <definedName function="false" hidden="false" localSheetId="11" name="AL_2_3_A_TRANSP_SERV" vbProcedure="false">'SERVENTE COR'!$F$46</definedName>
    <definedName function="false" hidden="false" localSheetId="11" name="AL_2_3_B_AUX_ALIMENT_SERV" vbProcedure="false">'SERVENTE COR'!$F$47</definedName>
    <definedName function="false" hidden="false" localSheetId="11" name="AL_2_3_C_OUTROS_BENEF_1_SERV" vbProcedure="false">'SERVENTE COR'!$F$48</definedName>
    <definedName function="false" hidden="false" localSheetId="11" name="AL_2_A_ATE_2_G_GPS_SERV" vbProcedure="false">'SERVENTE COR'!$F$35:$F$41</definedName>
    <definedName function="false" hidden="false" localSheetId="11" name="AL_6_A_CUSTOS_INDIRETOS_SERV" vbProcedure="false">'SERVENTE COR'!$F$81</definedName>
    <definedName function="false" hidden="false" localSheetId="11" name="AL_6_B_LUCRO_SERV" vbProcedure="false">'SERVENTE COR'!$F$82</definedName>
    <definedName function="false" hidden="false" localSheetId="11" name="AL_6_C_1_PIS_SERV" vbProcedure="false">'SERVENTE COR'!$F$84</definedName>
    <definedName function="false" hidden="false" localSheetId="11" name="AL_6_C_2_COFINS_SERV" vbProcedure="false">'SERVENTE COR'!$F$85</definedName>
    <definedName function="false" hidden="false" localSheetId="11" name="AL_6_C_3_ISS_SERV" vbProcedure="false">'SERVENTE COR'!$F$86</definedName>
    <definedName function="false" hidden="false" localSheetId="11" name="AL_6_C_TRIBUTOS_SERV" vbProcedure="false">'SERVENTE COR'!$F$83</definedName>
    <definedName function="false" hidden="false" localSheetId="11" name="MOD_1_REMUNERACAO_ENC" vbProcedure="false">'SERVENTE COR'!$F$26</definedName>
    <definedName function="false" hidden="false" localSheetId="11" name="MOD_1_REMUNERACAO_SERV" vbProcedure="false">'SERVENTE COR'!$F$26</definedName>
    <definedName function="false" hidden="false" localSheetId="11" name="MOD_2_ENCARGOS_BENEFICIOS_ENC" vbProcedure="false">'SERVENTE COR'!$F$32+'SERVENTE COR'!$F$43+'SERVENTE COR'!$F$51</definedName>
    <definedName function="false" hidden="false" localSheetId="11" name="MOD_2_ENCARGOS_BENEFICIOS_SERV" vbProcedure="false">'SERVENTE COR'!$F$32+'SERVENTE COR'!$F$43+'SERVENTE COR'!$F$51</definedName>
    <definedName function="false" hidden="false" localSheetId="11" name="MOD_3_PROVISAO_RESCISAO_ENC" vbProcedure="false">'SERVENTE COR'!$F$56</definedName>
    <definedName function="false" hidden="false" localSheetId="11" name="MOD_3_PROVISAO_RESCISAO_SERV" vbProcedure="false">'SERVENTE COR'!$F$57</definedName>
    <definedName function="false" hidden="false" localSheetId="11" name="MOD_4_CUSTO_REPOSICAO_SERV" vbProcedure="false">'SERVENTE COR'!$F$67+'SERVENTE COR'!$F$71</definedName>
    <definedName function="false" hidden="false" localSheetId="11" name="MOD_5_INSUMOS_SERV" vbProcedure="false">'SERVENTE COR'!$F$78</definedName>
    <definedName function="false" hidden="false" localSheetId="11" name="MOD_6_CUSTOS_IND_LUCRO_TRIB_SERV" vbProcedure="false">'SERVENTE COR'!$F$87</definedName>
    <definedName function="false" hidden="false" localSheetId="11" name="PERC_MOD_3_PROVISAO_RESCISAO" vbProcedure="false">'SERVENTE COR'!$E$57</definedName>
    <definedName function="false" hidden="false" localSheetId="11" name="PERC_TRIBUTOS" vbProcedure="false">'SERVENTE COR'!$E$83</definedName>
    <definedName function="false" hidden="false" localSheetId="11" name="SUBMOD_2_1_DEC_TERC_ADIC_FERIAS_SERV" vbProcedure="false">'SERVENTE COR'!$F$32</definedName>
    <definedName function="false" hidden="false" localSheetId="11" name="SUBMOD_2_2_GPS_FGTS_SERV" vbProcedure="false">'SERVENTE COR'!$F$43</definedName>
    <definedName function="false" hidden="false" localSheetId="11" name="SUBMOD_2_3_BENEFICIOS_SERV" vbProcedure="false">'SERVENTE COR'!$F$51</definedName>
    <definedName function="false" hidden="false" localSheetId="11" name="SUBMOD_4_1_SUBSTITUTO_SERV" vbProcedure="false">'SERVENTE COR'!$F$67</definedName>
    <definedName function="false" hidden="false" localSheetId="11" name="SUBMOD_4_2_INTRAJORNADA_SERV" vbProcedure="false">'SERVENTE COR'!$F$71</definedName>
    <definedName function="false" hidden="false" localSheetId="11" name="VALOR_TOTAL_SERV" vbProcedure="false">'SERVENTE COR'!$F$96</definedName>
    <definedName function="false" hidden="false" localSheetId="11" name="VALOR_TOTAL_SERV_HOSP" vbProcedure="false">#REF!</definedName>
    <definedName function="false" hidden="false" localSheetId="12" name="COEF_KI_ESQ_EXTERNA_ENC" vbProcedure="false">#REF!</definedName>
    <definedName function="false" hidden="false" localSheetId="12" name="COEF_KI_ESQ_EXTERNA_SERV" vbProcedure="false">'CUSTO M² COR'!$G$29</definedName>
    <definedName function="false" hidden="false" localSheetId="12" name="CUSTO_M2_AREA_EXTERNA_ENC" vbProcedure="false">#REF!</definedName>
    <definedName function="false" hidden="false" localSheetId="12" name="CUSTO_M2_AREA_INTERNA" vbProcedure="false">#REF!</definedName>
    <definedName function="false" hidden="false" localSheetId="12" name="CUSTO_M2_AREA_INTERNA_ENC" vbProcedure="false">#REF!</definedName>
    <definedName function="false" hidden="false" localSheetId="12" name="CUSTO_M2_ESQ_EXTERNA" vbProcedure="false">#REF!</definedName>
    <definedName function="false" hidden="false" localSheetId="12" name="CUSTO_M2_ESQ_EXTERNA_ENC" vbProcedure="false">#REF!</definedName>
    <definedName function="false" hidden="false" localSheetId="12" name="CUSTO_M2_ESQ_EXTERNA_SERV" vbProcedure="false">'CUSTO M² COR'!$I$29</definedName>
    <definedName function="false" hidden="false" localSheetId="12" name="JORNADA_MES_ESQ_EXTERNA_ENC" vbProcedure="false">#REF!</definedName>
    <definedName function="false" hidden="false" localSheetId="12" name="JORNADA_MES_ESQ_EXTERNA_SERV" vbProcedure="false">'CUSTO M² COR'!$F$29</definedName>
    <definedName function="false" hidden="false" localSheetId="12" name="VALOR_LIMITES_AREA_EXTERNA" vbProcedure="false">'CUSTO M² COR'!$H$41</definedName>
    <definedName function="false" hidden="false" localSheetId="12" name="VALOR_LIMITES_AREA_INTERNA" vbProcedure="false">'CUSTO M² COR'!$H$38</definedName>
    <definedName function="false" hidden="false" localSheetId="12" name="VALOR_LIMITES_ESQ_EXTERNA" vbProcedure="false">'CUSTO M² COR'!$H$44</definedName>
    <definedName function="false" hidden="false" localSheetId="12" name="VALOR_LIMITE_CONTRATACAO_POR_AREA" vbProcedure="false">'CUSTO M² COR'!$H$46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<sst xmlns="http://schemas.openxmlformats.org/spreadsheetml/2006/main" count="1741" uniqueCount="473">
  <si>
    <t xml:space="preserve">RAMO: MINISTÉRIO PÚBLICO FEDERAL</t>
  </si>
  <si>
    <t xml:space="preserve">UNIDADE GESTORA (SIGLA): PRMS</t>
  </si>
  <si>
    <t xml:space="preserve">DATA:</t>
  </si>
  <si>
    <t xml:space="preserve">CUSTOS REFERENTES A SERVIÇOS DE LIMPEZA E CONSERVAÇÃO</t>
  </si>
  <si>
    <t xml:space="preserve">Dados referentes à licitação</t>
  </si>
  <si>
    <t xml:space="preserve">Nº do Processo </t>
  </si>
  <si>
    <t xml:space="preserve">1.21.000.000675/2022-97</t>
  </si>
  <si>
    <t xml:space="preserve">Pregão Eletrônico nº (01/2022)</t>
  </si>
  <si>
    <t xml:space="preserve">Pregão nº</t>
  </si>
  <si>
    <t xml:space="preserve">1/2022</t>
  </si>
  <si>
    <t xml:space="preserve">Data / Horário</t>
  </si>
  <si>
    <t xml:space="preserve">20/12/2022</t>
  </si>
  <si>
    <t xml:space="preserve">10:00</t>
  </si>
  <si>
    <t xml:space="preserve">* HORÁRIO DE BRASÍLIA</t>
  </si>
  <si>
    <t xml:space="preserve">* O LICITANTE DEVERÁ PREENCHER OS CAMPOS EM AMARELO NAS PLANILHAS “INSERÇÃO DE DADOS DE MÃO DE OBRA”, “INSERÇÃO DE DADOS PRODUTIVIDADE”, “UNIFORMES” E “MATERIAIS E EQUIPAMENTOS”, CONFORME O CASO. OUTRAS ALTERAÇÕES DEVEM SER INDICADAS E JUSTIFICADAS.</t>
  </si>
  <si>
    <t xml:space="preserve">Dados referentes à contratação</t>
  </si>
  <si>
    <t xml:space="preserve">A PLANILHA FARÁ OS CÁLCULOS AUTOMATICAMENTE.</t>
  </si>
  <si>
    <t xml:space="preserve">A</t>
  </si>
  <si>
    <t xml:space="preserve">Data de Apresentação da Proposta (DD/MM/AAAA)</t>
  </si>
  <si>
    <t xml:space="preserve">B</t>
  </si>
  <si>
    <t xml:space="preserve">Local de Execução (Sede, Anexo I ou II, PTM, PRM)</t>
  </si>
  <si>
    <t xml:space="preserve">C</t>
  </si>
  <si>
    <t xml:space="preserve">Unidade da Federação</t>
  </si>
  <si>
    <t xml:space="preserve">MS</t>
  </si>
  <si>
    <t xml:space="preserve">D</t>
  </si>
  <si>
    <t xml:space="preserve">Acordo, Conv. ou Sentença Normativa em Dissídio Coletivo (MM/AAAA)</t>
  </si>
  <si>
    <t xml:space="preserve">01/2022</t>
  </si>
  <si>
    <t xml:space="preserve">E</t>
  </si>
  <si>
    <t xml:space="preserve">Número de Meses de Execução Contratual</t>
  </si>
  <si>
    <t xml:space="preserve">Identificação do serviço</t>
  </si>
  <si>
    <t xml:space="preserve">Item</t>
  </si>
  <si>
    <t xml:space="preserve">Tipo de Serviço</t>
  </si>
  <si>
    <t xml:space="preserve">Adic. Insalub.?</t>
  </si>
  <si>
    <t xml:space="preserve">Qtde a Contratar</t>
  </si>
  <si>
    <t xml:space="preserve">Salário Normat. (em R$)</t>
  </si>
  <si>
    <t xml:space="preserve">1</t>
  </si>
  <si>
    <t xml:space="preserve">Encarregado de Limpeza</t>
  </si>
  <si>
    <t xml:space="preserve">NÃO</t>
  </si>
  <si>
    <t xml:space="preserve">2</t>
  </si>
  <si>
    <t xml:space="preserve">Servente Campo Grande</t>
  </si>
  <si>
    <t xml:space="preserve">3</t>
  </si>
  <si>
    <t xml:space="preserve">Servente Unidades do interior</t>
  </si>
  <si>
    <t xml:space="preserve">Mão de obra</t>
  </si>
  <si>
    <t xml:space="preserve">Tipo de Serviço (mesmo serviço com características distintas)</t>
  </si>
  <si>
    <t xml:space="preserve">Limpeza e Conservação</t>
  </si>
  <si>
    <t xml:space="preserve">Classificação Brasileira de Ocupações (CBO)</t>
  </si>
  <si>
    <t xml:space="preserve">5143-20</t>
  </si>
  <si>
    <t xml:space="preserve">Data-Base da Categoria (DD/MM/AAAA)</t>
  </si>
  <si>
    <t xml:space="preserve">Salário Mínimo vigente no país (em R$)</t>
  </si>
  <si>
    <t xml:space="preserve">CUSTOS POR EMPREGADO</t>
  </si>
  <si>
    <t xml:space="preserve">MÓDULO 1: COMPOSIÇÃO DA REMUNERAÇÃO</t>
  </si>
  <si>
    <t xml:space="preserve">Composição da Remuneração</t>
  </si>
  <si>
    <t xml:space="preserve">Valor ($)</t>
  </si>
  <si>
    <t xml:space="preserve">Adicional de Insalubridade (em %)</t>
  </si>
  <si>
    <t xml:space="preserve">Gratificação de função (Apenas para encarregada)</t>
  </si>
  <si>
    <t xml:space="preserve">Outras Remunerações 2 (Especificar)</t>
  </si>
  <si>
    <t xml:space="preserve">Outras Remunerações 3 (Especificar)</t>
  </si>
  <si>
    <t xml:space="preserve">MÓDULO 2: ENCARGOS E BENEFÍCIOS ANUAIS, MENSAIS E DIÁRIOS</t>
  </si>
  <si>
    <t xml:space="preserve">Submódulo 2.2 - Encargos Previdencários (GPS), Fundo de Garantia por Tempo de Serviço (FGTS) e Outras Contribuições</t>
  </si>
  <si>
    <t xml:space="preserve">2.2</t>
  </si>
  <si>
    <t xml:space="preserve">Encargos Previdenciários (GPS), Fundo de Garantia por Tempo de Serviço (FGTS) e outras contribuições</t>
  </si>
  <si>
    <t xml:space="preserve">Valor (%)</t>
  </si>
  <si>
    <t xml:space="preserve">Fator Acidentário de Prevenção</t>
  </si>
  <si>
    <t xml:space="preserve">TOTAL</t>
  </si>
  <si>
    <r>
      <rPr>
        <sz val="11"/>
        <color rgb="FFFF0000"/>
        <rFont val="Segoe UI Light"/>
        <family val="2"/>
        <charset val="1"/>
      </rPr>
      <t xml:space="preserve">Nota 1: se o licitante for optante do </t>
    </r>
    <r>
      <rPr>
        <b val="true"/>
        <sz val="11"/>
        <color rgb="FFFF0000"/>
        <rFont val="Segoe UI Light"/>
        <family val="2"/>
        <charset val="1"/>
      </rPr>
      <t xml:space="preserve">Simples</t>
    </r>
    <r>
      <rPr>
        <sz val="11"/>
        <color rgb="FFFF0000"/>
        <rFont val="Segoe UI Light"/>
        <family val="2"/>
        <charset val="1"/>
      </rPr>
      <t xml:space="preserve">, deverá também inserir os encargos de acordo com a sua condição da planilha </t>
    </r>
    <r>
      <rPr>
        <b val="true"/>
        <sz val="11"/>
        <color rgb="FFFF0000"/>
        <rFont val="Segoe UI Light"/>
        <family val="2"/>
        <charset val="1"/>
      </rPr>
      <t xml:space="preserve">“ENCARGOS-SOCIAIS-E-TRABALHISTAS”</t>
    </r>
    <r>
      <rPr>
        <sz val="11"/>
        <color rgb="FFFF0000"/>
        <rFont val="Segoe UI Light"/>
        <family val="2"/>
        <charset val="1"/>
      </rPr>
      <t xml:space="preserve">.</t>
    </r>
  </si>
  <si>
    <t xml:space="preserve">Submódulo 2.3 - Benefícios Mensais e Diários</t>
  </si>
  <si>
    <t xml:space="preserve">2.3</t>
  </si>
  <si>
    <t xml:space="preserve">Benefícios Mensais e Diários</t>
  </si>
  <si>
    <t xml:space="preserve">Frequência</t>
  </si>
  <si>
    <t xml:space="preserve">Valor (em R$)</t>
  </si>
  <si>
    <t xml:space="preserve">Transporte</t>
  </si>
  <si>
    <t xml:space="preserve">A.1</t>
  </si>
  <si>
    <t xml:space="preserve">Campo Grande</t>
  </si>
  <si>
    <t xml:space="preserve">Diária</t>
  </si>
  <si>
    <t xml:space="preserve">A.2</t>
  </si>
  <si>
    <t xml:space="preserve">Dourados</t>
  </si>
  <si>
    <t xml:space="preserve">A.3</t>
  </si>
  <si>
    <t xml:space="preserve">Três Lagoas</t>
  </si>
  <si>
    <t xml:space="preserve">A.4</t>
  </si>
  <si>
    <t xml:space="preserve">Corumbá</t>
  </si>
  <si>
    <t xml:space="preserve">Auxílio-Refeição/Alimentação</t>
  </si>
  <si>
    <t xml:space="preserve">Dias Trabalhados no mês (15 dias intercalados ou 22 dias úteis)</t>
  </si>
  <si>
    <t xml:space="preserve">Mensal</t>
  </si>
  <si>
    <t xml:space="preserve">Outros benefícios (Especificar) </t>
  </si>
  <si>
    <t xml:space="preserve">*PREENCHER “OUTROS BENEFÍCIOS” SOMENTE SE HOUVER BENEFÍCIOS ADMISSÍVEIS, CONFORME AS ORIENTAÇÕES DA NOTA 2. </t>
  </si>
  <si>
    <t xml:space="preserve">Outros benefícios (Especificar)</t>
  </si>
  <si>
    <t xml:space="preserve">F</t>
  </si>
  <si>
    <t xml:space="preserve">Nota 2: Benefícios de natureza assistencial que consistem em repasse para o sindicato e não são pagos diretamente ao empregado, como os benefícios social familiar e assistencial ao trabalhador (Cláusulas Décima Sétima e Décima Oitava da CCT/MS da categoria de asseio e conservação 2022), por sua natureza, devem ser embutidos na taxa de administração da empresa, e não no Módulo 2 da planilha de custos, conforme entendimento da Auditoria Interna do Ministério Público da União. Da mesma forma, segundo orientação da Audin-MPU, o valor do benefício prêmio cesta básica previsto na Cláusula 12ª, não deverá ser lançado no Submódulo 2.3, pois além de ser uma obrigação criada para terceiro que não deve ser admitida de acordo com a Orientação Normativa nº 63/2020 da AGU, a remuneração, quando couber, fica garantida pela rubrica 4.1 – B – Substituto nas Ausências Legais.</t>
  </si>
  <si>
    <t xml:space="preserve">MÓDULO 4: CUSTO DE REPOSIÇÃO DO PROFISSIONAL AUSENTE</t>
  </si>
  <si>
    <t xml:space="preserve">Submódulo 4.1 - Substituto nas Ausências Legais</t>
  </si>
  <si>
    <t xml:space="preserve">4.1</t>
  </si>
  <si>
    <t xml:space="preserve">Substituto nas Ausências Legais</t>
  </si>
  <si>
    <t xml:space="preserve">%</t>
  </si>
  <si>
    <t xml:space="preserve">Outras Ausências (Especificar em %)</t>
  </si>
  <si>
    <t xml:space="preserve">Submódulo 4.2 - Substituto na Intrajornada</t>
  </si>
  <si>
    <t xml:space="preserve">4.2</t>
  </si>
  <si>
    <t xml:space="preserve">Substituto na Intrajornada</t>
  </si>
  <si>
    <t xml:space="preserve">% / Minutos</t>
  </si>
  <si>
    <t xml:space="preserve">Hora Extra (em %)</t>
  </si>
  <si>
    <t xml:space="preserve">Tempo de Intervalo para Refeição (em minutos)</t>
  </si>
  <si>
    <t xml:space="preserve">*Não haverá substituto na intrajornada, portanto não deve ser cotado.</t>
  </si>
  <si>
    <t xml:space="preserve">MÓDULO 5: INSUMOS DIVERSOS</t>
  </si>
  <si>
    <t xml:space="preserve">Preencher valores unitários nas planilhas chamadas “UNIFORMES” e “MATERIAIS E EQUIPAMENTOS”</t>
  </si>
  <si>
    <t xml:space="preserve">Insumos Diversos</t>
  </si>
  <si>
    <t xml:space="preserve">Valor (R$)</t>
  </si>
  <si>
    <t xml:space="preserve">MÓDULO 6: CUSTOS INDIRETOS, TRIBUTOS E LUCRO</t>
  </si>
  <si>
    <t xml:space="preserve">Custos Indiretos, Tributos e Lucro (%)</t>
  </si>
  <si>
    <t xml:space="preserve">PRMS CAMPO GRANDE</t>
  </si>
  <si>
    <t xml:space="preserve">PRM DOURADOS</t>
  </si>
  <si>
    <t xml:space="preserve">PRM TRÊS LAGOAS</t>
  </si>
  <si>
    <t xml:space="preserve">PRM CORUMBÁ</t>
  </si>
  <si>
    <t xml:space="preserve">Custos Indiretos</t>
  </si>
  <si>
    <t xml:space="preserve">Lucro</t>
  </si>
  <si>
    <t xml:space="preserve">C.1</t>
  </si>
  <si>
    <t xml:space="preserve">PIS</t>
  </si>
  <si>
    <t xml:space="preserve">C.2</t>
  </si>
  <si>
    <t xml:space="preserve">Cofins</t>
  </si>
  <si>
    <t xml:space="preserve">C.3</t>
  </si>
  <si>
    <t xml:space="preserve">ISS</t>
  </si>
  <si>
    <t xml:space="preserve">*Preencher Pis e Cofins na coluna PRMS Campo Grande</t>
  </si>
  <si>
    <t xml:space="preserve">OBSERVAÇÃO</t>
  </si>
  <si>
    <t xml:space="preserve">Para mais informações, consulte o Referencial Técnico de Custos, constante da aba PUBLICAÇÕES, na página da Auditoria Interna do MPU na internet (www.auditoria.mpu.mp.br).</t>
  </si>
  <si>
    <t xml:space="preserve">INFORMAÇÕES SOBRE O LOCAL ONDE OS SERVIÇOS DE LIMPEZA E CONSERVAÇÃO SERÃO EXECUTADOS</t>
  </si>
  <si>
    <t xml:space="preserve">ÁREAS FÍSICAS A SEREM LIMPAS (em m²)</t>
  </si>
  <si>
    <t xml:space="preserve">PRODUTIVIDADE DO SERVENTE POR METRO QUADRADO 
(2)</t>
  </si>
  <si>
    <t xml:space="preserve">* Preencher os campo da produtividade em amarelo, conforme as orientações dos Itens 9.4,  9.5 e demais, do Anexo I – Termo de Referência, do Edital do Pregão Eletrônico nº 1/2022. </t>
  </si>
  <si>
    <t xml:space="preserve">TIPO DE ÁREA
(1)</t>
  </si>
  <si>
    <t xml:space="preserve">ESPECIFICAÇÃO</t>
  </si>
  <si>
    <t xml:space="preserve">EDIFÍCIO-SEDE – CAMPO GRANDE</t>
  </si>
  <si>
    <t xml:space="preserve">PRODUT. 
EDIFÍCIO SEDE CAMPO GRANDE</t>
  </si>
  <si>
    <t xml:space="preserve">PRODUT. 
PRM DOURADOS</t>
  </si>
  <si>
    <t xml:space="preserve">PRODUT. 
PRM TRÊS LAGOAS</t>
  </si>
  <si>
    <t xml:space="preserve">PRODUT. 
PRM CORUMBÁ</t>
  </si>
  <si>
    <t xml:space="preserve">FREQUÊNCIA (EM HORAS) (ESQUADRIAS – P/ TODAS AS UNIDADES) (3)</t>
  </si>
  <si>
    <t xml:space="preserve">(A)</t>
  </si>
  <si>
    <t xml:space="preserve">(B)</t>
  </si>
  <si>
    <t xml:space="preserve">(C)</t>
  </si>
  <si>
    <t xml:space="preserve">(D)</t>
  </si>
  <si>
    <t xml:space="preserve">(G)</t>
  </si>
  <si>
    <t xml:space="preserve">(H)</t>
  </si>
  <si>
    <t xml:space="preserve">(I)</t>
  </si>
  <si>
    <t xml:space="preserve">(J)</t>
  </si>
  <si>
    <t xml:space="preserve">Área interna</t>
  </si>
  <si>
    <t xml:space="preserve">Pisos frios</t>
  </si>
  <si>
    <t xml:space="preserve">Almoxarifado</t>
  </si>
  <si>
    <t xml:space="preserve">Banheiros</t>
  </si>
  <si>
    <t xml:space="preserve">Área externa</t>
  </si>
  <si>
    <t xml:space="preserve">Áreas verdes</t>
  </si>
  <si>
    <t xml:space="preserve">Passeios, arruamentos e estacionamentos</t>
  </si>
  <si>
    <t xml:space="preserve">Pátios</t>
  </si>
  <si>
    <t xml:space="preserve">Esquadria externa</t>
  </si>
  <si>
    <t xml:space="preserve">Face interna</t>
  </si>
  <si>
    <t xml:space="preserve">Face externa</t>
  </si>
  <si>
    <t xml:space="preserve">QTDE DE SERVENTES/ENCARREGADO (4)</t>
  </si>
  <si>
    <t xml:space="preserve">OBSERVAÇÕES (conforme o Anexo VII-D da IN SEGES/MPDG nº 5/2017)</t>
  </si>
  <si>
    <r>
      <rPr>
        <b val="true"/>
        <sz val="11"/>
        <rFont val="Segoe UI Light"/>
        <family val="2"/>
        <charset val="1"/>
      </rPr>
      <t xml:space="preserve">(1)</t>
    </r>
    <r>
      <rPr>
        <sz val="11"/>
        <rFont val="Segoe UI Light"/>
        <family val="2"/>
        <charset val="1"/>
      </rPr>
      <t xml:space="preserve"> Informadas as metragens reais da unidade de acordo com os tipos de áreas existentes, incluindo PRMs/PTMs, conforme abrangência da contratação.</t>
    </r>
  </si>
  <si>
    <r>
      <rPr>
        <b val="true"/>
        <sz val="11"/>
        <rFont val="Segoe UI Light"/>
        <family val="2"/>
        <charset val="1"/>
      </rPr>
      <t xml:space="preserve">(2) </t>
    </r>
    <r>
      <rPr>
        <sz val="11"/>
        <rFont val="Segoe UI Light"/>
        <family val="2"/>
        <charset val="1"/>
      </rPr>
      <t xml:space="preserve">Caso as produtividades mínimas adotadas sejam diferentes, estes valores das planilhas, bem como os coeficientes deles decorrentes (Ki e Ke), deverão ser adequados à nova situação, observados os limites e condições do edital.</t>
    </r>
  </si>
  <si>
    <r>
      <rPr>
        <b val="true"/>
        <sz val="11"/>
        <rFont val="Segoe UI Light"/>
        <family val="2"/>
        <charset val="1"/>
      </rPr>
      <t xml:space="preserve">(3)</t>
    </r>
    <r>
      <rPr>
        <sz val="11"/>
        <rFont val="Segoe UI Light"/>
        <family val="2"/>
        <charset val="1"/>
      </rPr>
      <t xml:space="preserve"> No caso das esquadrias externas, inserir a frequência de horas mensais. Em relação às fachadas envidraçadas, incluir a frequência de horas semestrais.</t>
    </r>
  </si>
  <si>
    <r>
      <rPr>
        <b val="true"/>
        <sz val="11"/>
        <rFont val="Segoe UI Light"/>
        <family val="2"/>
        <charset val="1"/>
      </rPr>
      <t xml:space="preserve">(4)</t>
    </r>
    <r>
      <rPr>
        <sz val="11"/>
        <rFont val="Segoe UI Light"/>
        <family val="2"/>
        <charset val="1"/>
      </rPr>
      <t xml:space="preserve"> Caso a relação entre serventes e encarregados seja diferente, os valores das planilhas, bem como os coeficientes deles decorrentes (Ki e Ke), deverão ser adequados à nova situação. </t>
    </r>
  </si>
  <si>
    <t xml:space="preserve">DADOS ESTATÍSTICOS</t>
  </si>
  <si>
    <t xml:space="preserve">Dias / Horas / Minutos</t>
  </si>
  <si>
    <t xml:space="preserve">Divisor de Horas (em horas)</t>
  </si>
  <si>
    <t xml:space="preserve">Dias na Semana</t>
  </si>
  <si>
    <t xml:space="preserve">Dias no Ano</t>
  </si>
  <si>
    <t xml:space="preserve">Média Anual de Dias Trabalhados no Mês</t>
  </si>
  <si>
    <t xml:space="preserve">Meses no Ano </t>
  </si>
  <si>
    <t xml:space="preserve">Meses no Semestre</t>
  </si>
  <si>
    <t xml:space="preserve">G</t>
  </si>
  <si>
    <t xml:space="preserve">Hora Normal (em minutos)</t>
  </si>
  <si>
    <t xml:space="preserve">H</t>
  </si>
  <si>
    <t xml:space="preserve">Carga Horária Semanal (em horas)</t>
  </si>
  <si>
    <t xml:space="preserve">Dias / %</t>
  </si>
  <si>
    <t xml:space="preserve">Desconto Remuneração Transporte</t>
  </si>
  <si>
    <t xml:space="preserve">MÓDULO 3: PROVISÃO PARA RESCISÃO</t>
  </si>
  <si>
    <t xml:space="preserve">Provisão para Rescisão</t>
  </si>
  <si>
    <t xml:space="preserve">Faxineiros demitidos sem justa causa / Total de desligamentos (em %)</t>
  </si>
  <si>
    <t xml:space="preserve">Empregados que recebem aviso prévio indenizado (em %)</t>
  </si>
  <si>
    <t xml:space="preserve">Multa do FGTS (em %)</t>
  </si>
  <si>
    <t xml:space="preserve">Empregados que recebem aviso prévio trabalhado (em %)</t>
  </si>
  <si>
    <t xml:space="preserve">Dias no mês</t>
  </si>
  <si>
    <t xml:space="preserve">Dias de Ausências Legais</t>
  </si>
  <si>
    <t xml:space="preserve">Dias de Licença-Paternidade</t>
  </si>
  <si>
    <t xml:space="preserve">Nascidos Vivos / População Feminina (em %)</t>
  </si>
  <si>
    <t xml:space="preserve">Participação Masculina nos Serviços de Limpeza (em %)</t>
  </si>
  <si>
    <t xml:space="preserve">Empregados afastados por acidente de trabalho (em %)</t>
  </si>
  <si>
    <t xml:space="preserve">Dias pagos pela empresa em acidentes de trabalho</t>
  </si>
  <si>
    <t xml:space="preserve">Dias de Licença-Maternidade</t>
  </si>
  <si>
    <t xml:space="preserve">Participação Feminina nos Serviços de Limpeza (em %)</t>
  </si>
  <si>
    <t xml:space="preserve">Submódulo 4.2 - Intrajornada</t>
  </si>
  <si>
    <t xml:space="preserve">Intrajornada</t>
  </si>
  <si>
    <t xml:space="preserve">Minutos / %</t>
  </si>
  <si>
    <t xml:space="preserve">ENCARGOS SOCIAIS E TRABALHISTAS</t>
  </si>
  <si>
    <t xml:space="preserve">Submódulo 2.1 - 13º (décimo terceiro) Salário e Adicional de Férias</t>
  </si>
  <si>
    <t xml:space="preserve">2.1</t>
  </si>
  <si>
    <t xml:space="preserve">13º Salário e Adicional de Férias</t>
  </si>
  <si>
    <t xml:space="preserve">Memória de Cálculo</t>
  </si>
  <si>
    <t xml:space="preserve">13º Salário</t>
  </si>
  <si>
    <t xml:space="preserve">(1/12) x 100</t>
  </si>
  <si>
    <t xml:space="preserve">Adicional de Férias</t>
  </si>
  <si>
    <t xml:space="preserve">[(1/3)/12] x 100</t>
  </si>
  <si>
    <t xml:space="preserve">INSS</t>
  </si>
  <si>
    <t xml:space="preserve">Salário Educação</t>
  </si>
  <si>
    <t xml:space="preserve">Riscos Ambientas do Trabalho</t>
  </si>
  <si>
    <t xml:space="preserve">SESC</t>
  </si>
  <si>
    <t xml:space="preserve">SENAC</t>
  </si>
  <si>
    <t xml:space="preserve">SEBRAE</t>
  </si>
  <si>
    <t xml:space="preserve">INCRA</t>
  </si>
  <si>
    <t xml:space="preserve">FGTS</t>
  </si>
  <si>
    <t xml:space="preserve">Aviso Prévio Indenizado</t>
  </si>
  <si>
    <t xml:space="preserve">[(56,24%) x 5,55% x (1/12)] x 100</t>
  </si>
  <si>
    <t xml:space="preserve">Aviso Prévio Trabalhado</t>
  </si>
  <si>
    <t xml:space="preserve">[(56,24%) x 95,45% x (7/30)/12] x 100</t>
  </si>
  <si>
    <t xml:space="preserve">Multa do FGTS sobre o Aviso Prévio Trabalhado</t>
  </si>
  <si>
    <t xml:space="preserve">[1,03% x 40% x 8,00%] x 100</t>
  </si>
  <si>
    <t xml:space="preserve">Substituto na Cobertura de Férias </t>
  </si>
  <si>
    <t xml:space="preserve">(1/12) x 100 </t>
  </si>
  <si>
    <t xml:space="preserve">Substituto na Cobertura de Ausências Legais</t>
  </si>
  <si>
    <t xml:space="preserve">[(8/30)/12] x 100</t>
  </si>
  <si>
    <t xml:space="preserve">Substituto na Cobertura de Licença-Paternidade</t>
  </si>
  <si>
    <t xml:space="preserve">{[(20/30)/12] x 1,416% x 45,22%} x 100</t>
  </si>
  <si>
    <t xml:space="preserve">Substituto na Cobertura de Ausência por Acidente de Trabalho</t>
  </si>
  <si>
    <t xml:space="preserve">[(15/30)/12] x 0,44%} x 100</t>
  </si>
  <si>
    <t xml:space="preserve">Substituto na Cobertura de Afastamento Maternidade</t>
  </si>
  <si>
    <t xml:space="preserve">{[(180/30)/12] x 1,416% x 54,78% x 36,80%} x 100</t>
  </si>
  <si>
    <t xml:space="preserve">CUSTOS REFERENTES AO ENCARREGADO PRMS EM CAMPO GRANDE</t>
  </si>
  <si>
    <t xml:space="preserve">Nº do Processo</t>
  </si>
  <si>
    <t xml:space="preserve">Modalidade de Licitação</t>
  </si>
  <si>
    <t xml:space="preserve">DISCRIMINAÇÃO DOS SERVIÇOS (DADOS REFERENTES À CONTRATAÇÃO)</t>
  </si>
  <si>
    <t xml:space="preserve">Data de Apresentação da Proposta (18/12/2019)</t>
  </si>
  <si>
    <t xml:space="preserve">XX/XX/XXXX</t>
  </si>
  <si>
    <t xml:space="preserve">Quantidade de Encarregados</t>
  </si>
  <si>
    <t xml:space="preserve">Categoria Profissional (vinculada à execução contratual)</t>
  </si>
  <si>
    <t xml:space="preserve">PLANILHA DE CUSTOS E FORMAÇÃO DE PREÇOS</t>
  </si>
  <si>
    <t xml:space="preserve">Salário-Base</t>
  </si>
  <si>
    <t xml:space="preserve">Adicional de Insalubridade</t>
  </si>
  <si>
    <t xml:space="preserve">Riscos Ambientas do Trabalho (RAT Ajustado)</t>
  </si>
  <si>
    <t xml:space="preserve">Substituto na Cobertura de Intervalo para Repouso e Alimentação</t>
  </si>
  <si>
    <t xml:space="preserve">Uniformes</t>
  </si>
  <si>
    <t xml:space="preserve">Materiais</t>
  </si>
  <si>
    <t xml:space="preserve">Equipamentos</t>
  </si>
  <si>
    <t xml:space="preserve">Outros Insumos</t>
  </si>
  <si>
    <t xml:space="preserve">Custos Indiretos, Tributos e Lucro</t>
  </si>
  <si>
    <t xml:space="preserve">Tributos</t>
  </si>
  <si>
    <t xml:space="preserve">QUADRO RESUMO - CUSTO POR EMPREGADO</t>
  </si>
  <si>
    <t xml:space="preserve">MÓD.</t>
  </si>
  <si>
    <t xml:space="preserve">Mão-de-obra vinculada à execução contratual (valor por empregado)</t>
  </si>
  <si>
    <t xml:space="preserve">Valor    (R$)</t>
  </si>
  <si>
    <t xml:space="preserve">Encargos e Benefícios Anuais, Mensais e Diários</t>
  </si>
  <si>
    <t xml:space="preserve">Custo de Reposição do Profissional Ausente</t>
  </si>
  <si>
    <t xml:space="preserve">VALOR TOTAL DO ENCARREGADO</t>
  </si>
  <si>
    <t xml:space="preserve">CUSTOS REFERENTES AO SERVENTE – PRMS EM CAMPO GRANDE</t>
  </si>
  <si>
    <t xml:space="preserve">Quantidade de Serventes</t>
  </si>
  <si>
    <t xml:space="preserve">VALOR TOTAL DO SERVENTE</t>
  </si>
  <si>
    <t xml:space="preserve">ANEXO VI-B da IN SEGES/MPDG nº 5/2017</t>
  </si>
  <si>
    <t xml:space="preserve">(Produtividades mínimas previstas no item 3, considerando os parâmetros do Anexo VI-B da Instrução Normativa)</t>
  </si>
  <si>
    <t xml:space="preserve">I - PREÇO MENSAL UNITÁRIO POR M² – PRMS EM CAMPO GRANDE</t>
  </si>
  <si>
    <t xml:space="preserve">ÁREA INTERNA – CUSTO POR METRO QUADRADO CONFORME TIPO DE ÁREA</t>
  </si>
  <si>
    <t xml:space="preserve">MÃO DE OBRA</t>
  </si>
  <si>
    <t xml:space="preserve">TIPO DE ÁREA</t>
  </si>
  <si>
    <t xml:space="preserve">PRODUTIVIDADE
(1/m²) (I)</t>
  </si>
  <si>
    <t xml:space="preserve">PREÇO HOMEM-MÊS   ( II )</t>
  </si>
  <si>
    <t xml:space="preserve">SUBTOTAL (R$/m²)
( I ) x ( II )</t>
  </si>
  <si>
    <t xml:space="preserve">ENCARREGADO</t>
  </si>
  <si>
    <t xml:space="preserve">PISOS FRIOS</t>
  </si>
  <si>
    <t xml:space="preserve">SERVENTE</t>
  </si>
  <si>
    <t xml:space="preserve">CUSTO TOTAL M² PISOS FRIOS</t>
  </si>
  <si>
    <t xml:space="preserve">ALMOXARIFADO</t>
  </si>
  <si>
    <t xml:space="preserve">CUSTO TOTAL M² ALMOXARIFADO</t>
  </si>
  <si>
    <t xml:space="preserve">BANHEIROS</t>
  </si>
  <si>
    <t xml:space="preserve">CUSTO TOTAL M² BANHEIROS</t>
  </si>
  <si>
    <t xml:space="preserve">ÁREA EXTERNA - CUSTO POR METRO QUADRADO CONFORME TIPO DE ÁREA</t>
  </si>
  <si>
    <t xml:space="preserve">ÁREAS VERDES</t>
  </si>
  <si>
    <t xml:space="preserve">CUSTO TOTAL M² ÁREAS VERDES</t>
  </si>
  <si>
    <t xml:space="preserve">PASSEIOS, ARRUAMENTOS E ESTACIONAMENTOS</t>
  </si>
  <si>
    <t xml:space="preserve">CUSTO TOTAL M² PASSEIOS, ARRUAMENTOS E ESTACIONAMENTOS</t>
  </si>
  <si>
    <t xml:space="preserve">PÁTIOS</t>
  </si>
  <si>
    <t xml:space="preserve">ESQUADRIA EXTERNA - CUSTO POR METRO QUADRADO CONFORME TIPO DE ÁREA</t>
  </si>
  <si>
    <t xml:space="preserve">FREQUENCIA NO MÊS ( II )
 (EM HORAS) (2)</t>
  </si>
  <si>
    <t xml:space="preserve">JORNADA NO MÊS   ( III )
(EM HORAS)</t>
  </si>
  <si>
    <t xml:space="preserve">COEFICIENTE (Ki)
( I )x( II )x( III )=  ( IV )</t>
  </si>
  <si>
    <t xml:space="preserve">PREÇO HOMEM-MÊS   ( V )</t>
  </si>
  <si>
    <t xml:space="preserve">SUBTOTAL (R$/m²)
( IV )x( V )</t>
  </si>
  <si>
    <t xml:space="preserve">FACE INTERNA</t>
  </si>
  <si>
    <t xml:space="preserve">FACE EXTERNA</t>
  </si>
  <si>
    <t xml:space="preserve">CUSTO POR M² TOTAL - ESQUADRIA EXTERNA – FACE INTERNA</t>
  </si>
  <si>
    <t xml:space="preserve">CUSTO POR M² TOTAL - ESQUADRIA EXTERNA – FACE EXTERNA</t>
  </si>
  <si>
    <t xml:space="preserve">LIMITE MÁXIMO PARA A CONTRATAÇÃO</t>
  </si>
  <si>
    <t xml:space="preserve">ÁREA (m²)</t>
  </si>
  <si>
    <t xml:space="preserve">CUSTO MENSAL ESTIMADO
 (R$/m²)</t>
  </si>
  <si>
    <t xml:space="preserve">LIMITE POR TIPO DE ÁREA (R$)</t>
  </si>
  <si>
    <t xml:space="preserve">TOTAL
(D)</t>
  </si>
  <si>
    <t xml:space="preserve">E = (C X D)</t>
  </si>
  <si>
    <t xml:space="preserve">ÁREA INTERNA</t>
  </si>
  <si>
    <t xml:space="preserve">ÁREA EXTERNA</t>
  </si>
  <si>
    <t xml:space="preserve">ESQUADRIA EXTERNA</t>
  </si>
  <si>
    <t xml:space="preserve">LIMITE MÁXIMO PARA A CONTRATAÇÃO PRMS CAMPO GRANDE</t>
  </si>
  <si>
    <t xml:space="preserve">CUSTOS REFERENTES AO SERVENTE – PRM DE DOURADOS</t>
  </si>
  <si>
    <t xml:space="preserve">I - PREÇO MENSAL UNITÁRIO POR M² PRM DE DOURADOS</t>
  </si>
  <si>
    <t xml:space="preserve">ÁREA EXTERNA – CUSTO POR METRO QUADRADO CONFORME TIPO DE ÁREA</t>
  </si>
  <si>
    <t xml:space="preserve">SERVENTE
(D)</t>
  </si>
  <si>
    <t xml:space="preserve">LIMITE MÁXIMO PARA A CONTRATAÇÃO PRM DE DOURADOS</t>
  </si>
  <si>
    <t xml:space="preserve">CUSTOS REFERENTES AO SERVENTE – PRM DE TRÊS LAGOAS</t>
  </si>
  <si>
    <t xml:space="preserve">I - PREÇO MENSAL UNITÁRIO POR M² PRM DE TRÊS LAGOAS</t>
  </si>
  <si>
    <t xml:space="preserve">LIMITE MÁXIMO PARA A CONTRATAÇÃO PRM DE TRÊS LAGOAS</t>
  </si>
  <si>
    <t xml:space="preserve">CUSTOS REFERENTES AO SERVENTE – PRM DE CORUMBÁ</t>
  </si>
  <si>
    <t xml:space="preserve">I - PREÇO MENSAL UNITÁRIO POR M² PRM DE CORUMBÁ</t>
  </si>
  <si>
    <t xml:space="preserve">LIMITE MÁXIMO PARA A CONTRATAÇÃO PRM DE CORUMBÁ</t>
  </si>
  <si>
    <t xml:space="preserve">ANEXO – ESTIMATIVA DE UNIFORMES PARA A EXECUÇÃO DOS SERVIÇOS</t>
  </si>
  <si>
    <t xml:space="preserve">ITEM
(1)</t>
  </si>
  <si>
    <t xml:space="preserve">ESPECIFICAÇÃO DO UNIFORME</t>
  </si>
  <si>
    <t xml:space="preserve">Unidade de medida</t>
  </si>
  <si>
    <t xml:space="preserve">Quantidade  estimada por entrega ou troca</t>
  </si>
  <si>
    <t xml:space="preserve">Frequência de fornecimento no ano</t>
  </si>
  <si>
    <t xml:space="preserve">Quantidade total anual
(A) x (B)</t>
  </si>
  <si>
    <t xml:space="preserve">Valor referência unitário </t>
  </si>
  <si>
    <t xml:space="preserve">Valor total
(C) x (D) </t>
  </si>
  <si>
    <t xml:space="preserve">(E)</t>
  </si>
  <si>
    <t xml:space="preserve">Agasalho com ziper na frente e logotipo da empresa (impresso ou bordado)</t>
  </si>
  <si>
    <t xml:space="preserve">Unidade</t>
  </si>
  <si>
    <t xml:space="preserve">Calça com bolsos laterais e traseiros (para servente de limpeza)</t>
  </si>
  <si>
    <t xml:space="preserve">Camiseta  manga curta, com identificação da empresa</t>
  </si>
  <si>
    <t xml:space="preserve">Sapato preto com solado antiderrapante, adequado ao tipo de trabalho</t>
  </si>
  <si>
    <t xml:space="preserve">Bota de borracha (tipo galocha)</t>
  </si>
  <si>
    <t xml:space="preserve">VALOR TOTAL DE UNIFORMES NO ANO   </t>
  </si>
  <si>
    <t xml:space="preserve">VALOR MENSAL POR FUNCIONÁRIO   VM=VT/12   </t>
  </si>
  <si>
    <r>
      <rPr>
        <b val="true"/>
        <sz val="11"/>
        <rFont val="Segoe UI Light"/>
        <family val="2"/>
        <charset val="1"/>
      </rPr>
      <t xml:space="preserve">(1)</t>
    </r>
    <r>
      <rPr>
        <sz val="11"/>
        <rFont val="Segoe UI Light"/>
        <family val="2"/>
        <charset val="1"/>
      </rPr>
      <t xml:space="preserve"> Informar …</t>
    </r>
  </si>
  <si>
    <r>
      <rPr>
        <b val="true"/>
        <sz val="11"/>
        <rFont val="Segoe UI Light"/>
        <family val="2"/>
        <charset val="1"/>
      </rPr>
      <t xml:space="preserve">(2) …</t>
    </r>
    <r>
      <rPr>
        <sz val="11"/>
        <rFont val="Segoe UI Light"/>
        <family val="2"/>
        <charset val="1"/>
      </rPr>
      <t xml:space="preserve">.</t>
    </r>
  </si>
  <si>
    <r>
      <rPr>
        <b val="true"/>
        <sz val="11"/>
        <rFont val="Segoe UI Light"/>
        <family val="2"/>
        <charset val="1"/>
      </rPr>
      <t xml:space="preserve">(3)</t>
    </r>
    <r>
      <rPr>
        <sz val="11"/>
        <rFont val="Segoe UI Light"/>
        <family val="2"/>
        <charset val="1"/>
      </rPr>
      <t xml:space="preserve"> …</t>
    </r>
  </si>
  <si>
    <r>
      <rPr>
        <b val="true"/>
        <sz val="11"/>
        <rFont val="Segoe UI Light"/>
        <family val="2"/>
        <charset val="1"/>
      </rPr>
      <t xml:space="preserve">(4)</t>
    </r>
    <r>
      <rPr>
        <sz val="11"/>
        <rFont val="Segoe UI Light"/>
        <family val="2"/>
        <charset val="1"/>
      </rPr>
      <t xml:space="preserve"> …</t>
    </r>
  </si>
  <si>
    <t xml:space="preserve">ANEXO – ESTIMATIVA DE MATERIAL DE CONSUMO EMPREGADOS NA EXECUÇÃO DOS SERVIÇOS</t>
  </si>
  <si>
    <t xml:space="preserve">Quantidade mensal estimada de materiais de consumo de limpeza por unidade</t>
  </si>
  <si>
    <t xml:space="preserve">Quantidade total mensal 
E = (A+B+C+D)</t>
  </si>
  <si>
    <t xml:space="preserve">Valor  unitário 
</t>
  </si>
  <si>
    <t xml:space="preserve">Valor total
(G) =(E) x (F) </t>
  </si>
  <si>
    <t xml:space="preserve">EDIFÍCIO-SEDE</t>
  </si>
  <si>
    <t xml:space="preserve">(F)</t>
  </si>
  <si>
    <t xml:space="preserve">Água sanitária</t>
  </si>
  <si>
    <t xml:space="preserve">Galão 5 litros</t>
  </si>
  <si>
    <t xml:space="preserve">Álcool comum para limpeza</t>
  </si>
  <si>
    <t xml:space="preserve">Litro</t>
  </si>
  <si>
    <t xml:space="preserve">Álcool em gel (70°)</t>
  </si>
  <si>
    <t xml:space="preserve">Frasco</t>
  </si>
  <si>
    <t xml:space="preserve">Aromatizante de ar-aerossol para ambiente </t>
  </si>
  <si>
    <t xml:space="preserve">Cera líquida </t>
  </si>
  <si>
    <t xml:space="preserve">Desinfetante bactericida concentrado</t>
  </si>
  <si>
    <t xml:space="preserve">Galao 5 litros</t>
  </si>
  <si>
    <t xml:space="preserve">Detergente líquido, para pia de cozinha</t>
  </si>
  <si>
    <t xml:space="preserve">Frasco de 500 ml</t>
  </si>
  <si>
    <t xml:space="preserve">Escova de nylon manual com cerdas duras</t>
  </si>
  <si>
    <t xml:space="preserve">Esponja dupla face</t>
  </si>
  <si>
    <t xml:space="preserve">Flanela branca para limpeza de superfície</t>
  </si>
  <si>
    <t xml:space="preserve">Inseticida (spray)</t>
  </si>
  <si>
    <t xml:space="preserve">Fibra de limpeza leve branca</t>
  </si>
  <si>
    <t xml:space="preserve">Limpa pedra</t>
  </si>
  <si>
    <t xml:space="preserve">Galão de 5 litros</t>
  </si>
  <si>
    <t xml:space="preserve">Limpa vidro</t>
  </si>
  <si>
    <t xml:space="preserve">Limpador geral</t>
  </si>
  <si>
    <t xml:space="preserve">Lustra móveis</t>
  </si>
  <si>
    <t xml:space="preserve">Multi uso limpeza pesada</t>
  </si>
  <si>
    <t xml:space="preserve">Pano de Chão</t>
  </si>
  <si>
    <t xml:space="preserve">Papel higiênico, folha dupla, branco, extrafino, picotado</t>
  </si>
  <si>
    <t xml:space="preserve">Rolo</t>
  </si>
  <si>
    <t xml:space="preserve">Papel toalha branco interfolhado duas dobras</t>
  </si>
  <si>
    <t xml:space="preserve">Pacote mil unidades</t>
  </si>
  <si>
    <t xml:space="preserve">Pasta de limpeza a seco</t>
  </si>
  <si>
    <t xml:space="preserve">Polidor de metal tipo Silvo ou similar</t>
  </si>
  <si>
    <t xml:space="preserve">frasco</t>
  </si>
  <si>
    <t xml:space="preserve">Produto tipo Sapólio em Pó</t>
  </si>
  <si>
    <t xml:space="preserve">Removedor de cera</t>
  </si>
  <si>
    <t xml:space="preserve">Sabão em barra</t>
  </si>
  <si>
    <t xml:space="preserve">Sabão em pó multi-ação</t>
  </si>
  <si>
    <t xml:space="preserve">Quilo</t>
  </si>
  <si>
    <t xml:space="preserve">Sabonete líquido para mãos, cremoso </t>
  </si>
  <si>
    <t xml:space="preserve">Saco para lixo 200 litros – preto</t>
  </si>
  <si>
    <t xml:space="preserve">Pacote cem unidades</t>
  </si>
  <si>
    <t xml:space="preserve">Saco para lixo 100 litros – azul</t>
  </si>
  <si>
    <t xml:space="preserve">Saco para lixo 100 litros – preto</t>
  </si>
  <si>
    <t xml:space="preserve">Saco para lixo 20 litros - preto</t>
  </si>
  <si>
    <t xml:space="preserve">Saco para lixo 40 litros – preto</t>
  </si>
  <si>
    <t xml:space="preserve">Saco para lixo 60 litros - preto</t>
  </si>
  <si>
    <t xml:space="preserve">VALOR TOTAL MENSAL DE MATERIAIS DE CONSUMO   </t>
  </si>
  <si>
    <t xml:space="preserve">NÚMERO TOTAL DE SERVENTES PREVISTO PARA O CONTRATO   </t>
  </si>
  <si>
    <t xml:space="preserve">VALOR MENSAL DOS MATERIAIS DE CONSUMO POR SERVENTE   </t>
  </si>
  <si>
    <t xml:space="preserve">ANEXO – ESTIMATIVA DE MATERIAIS DE CONSUMO DURÁVEIS E UTENSÍLIOS EMPREGADOS NA EXECUÇÃO DOS SERVIÇOS</t>
  </si>
  <si>
    <t xml:space="preserve">Quantidade anual estimada de materiais de consumo duráveis e utensílios</t>
  </si>
  <si>
    <t xml:space="preserve">Quantidade total mensal 
(E) = (A+B+C+D)</t>
  </si>
  <si>
    <t xml:space="preserve">Valor total
(G)=(E) x (F) </t>
  </si>
  <si>
    <t xml:space="preserve">Balde plástico com alça (10 ou 20 litros) Unidade</t>
  </si>
  <si>
    <t xml:space="preserve">Desentupidor de pia</t>
  </si>
  <si>
    <t xml:space="preserve">Desentupidor de vaso sanitário</t>
  </si>
  <si>
    <t xml:space="preserve">Disco abrasivo para lustrar para enceradeira industrial (verde)</t>
  </si>
  <si>
    <t xml:space="preserve">Disco abrasivo para limpar (preto) para enceradeira industrial</t>
  </si>
  <si>
    <t xml:space="preserve">Escova de nylon para Enceradeira Industrial</t>
  </si>
  <si>
    <t xml:space="preserve">Escova para vaso sanitário</t>
  </si>
  <si>
    <t xml:space="preserve">Espanador</t>
  </si>
  <si>
    <t xml:space="preserve">Luva de borracha</t>
  </si>
  <si>
    <t xml:space="preserve">Par</t>
  </si>
  <si>
    <t xml:space="preserve">Mangueira de borracha ¾ 50 metros</t>
  </si>
  <si>
    <t xml:space="preserve">Pá para lixo galvanizada</t>
  </si>
  <si>
    <t xml:space="preserve">Rodo 40 cm Unidade</t>
  </si>
  <si>
    <t xml:space="preserve">Rodo 60 cm Unidade</t>
  </si>
  <si>
    <t xml:space="preserve">Vasculhador para teto</t>
  </si>
  <si>
    <t xml:space="preserve">Vassoura nylon nº 04 </t>
  </si>
  <si>
    <t xml:space="preserve">Vassoura pelo 40 cm </t>
  </si>
  <si>
    <t xml:space="preserve">Vassoura tipo gari </t>
  </si>
  <si>
    <t xml:space="preserve">Extensão telescopica 6 m</t>
  </si>
  <si>
    <t xml:space="preserve">Extensão telescopica 9 m</t>
  </si>
  <si>
    <t xml:space="preserve">Kit limpa vidro (rodo c/ esponja</t>
  </si>
  <si>
    <t xml:space="preserve">VALOR TOTAL ANUAL DE MATERIAIS DE CONSUMO DURÁVEIS E UTENSÍLIOS   </t>
  </si>
  <si>
    <t xml:space="preserve">VALOR MENSAL   VM= VT/12   </t>
  </si>
  <si>
    <t xml:space="preserve">VALOR MENSAL POR FUNCIONÁRIO   VMF=VM/Nº SERVENTES   </t>
  </si>
  <si>
    <t xml:space="preserve">ANEXO – ESTIMATIVA DE EQUIPAMENTOS  EMPREGADOS NA EXECUÇÃO DOS SERVIÇOS</t>
  </si>
  <si>
    <t xml:space="preserve">Quantidade estimada de equipamentos empregados no serviço por unidade</t>
  </si>
  <si>
    <t xml:space="preserve">Quantidade total mensal 
G = (A+B.+C+D)</t>
  </si>
  <si>
    <t xml:space="preserve">Valor  unitário </t>
  </si>
  <si>
    <t xml:space="preserve">Aspirador de pó (capacidade mín. 20L)</t>
  </si>
  <si>
    <t xml:space="preserve">Enceradeira industrial</t>
  </si>
  <si>
    <t xml:space="preserve">Escada de abrir com 07 degraus</t>
  </si>
  <si>
    <t xml:space="preserve">Placa Sinalizadora de piso</t>
  </si>
  <si>
    <t xml:space="preserve">Máquina lavadora a jato (alta pressão)</t>
  </si>
  <si>
    <t xml:space="preserve">Máquina para corte de grama</t>
  </si>
  <si>
    <t xml:space="preserve">Tesoura para corte de grama</t>
  </si>
  <si>
    <t xml:space="preserve">Enxada</t>
  </si>
  <si>
    <t xml:space="preserve">Espátula</t>
  </si>
  <si>
    <t xml:space="preserve">Rastelo 40 cm</t>
  </si>
  <si>
    <t xml:space="preserve">Carrinho funcional de limpeza</t>
  </si>
  <si>
    <t xml:space="preserve">VALOR TOTAL DOS EQUIPAMENTOS   </t>
  </si>
  <si>
    <t xml:space="preserve">VALOR TOTAL DEPRECIADO (considerando vida útil de 5 anos e valor residual de 20%)  VTD=VTEx0,8   </t>
  </si>
  <si>
    <t xml:space="preserve">VALOR MENSAL   VM= [VTD/(12*5)]   </t>
  </si>
  <si>
    <t xml:space="preserve">NÚMERO ESTIMADO DE SERVENTES   </t>
  </si>
  <si>
    <t xml:space="preserve">VALOR MENSAL POR FUNCIONÁRIO   VMF=VM/Nº FUNC   </t>
  </si>
  <si>
    <t xml:space="preserve">QUADRO RESUMO - VALOR MENSAL DOS SERVIÇOS</t>
  </si>
  <si>
    <t xml:space="preserve">ITEM</t>
  </si>
  <si>
    <t xml:space="preserve">Local da Execução dos Serviços</t>
  </si>
  <si>
    <t xml:space="preserve">Valor mensal do serviço
(R$)</t>
  </si>
  <si>
    <t xml:space="preserve">I</t>
  </si>
  <si>
    <t xml:space="preserve">Área a ser limpa (M²)</t>
  </si>
  <si>
    <t xml:space="preserve">II</t>
  </si>
  <si>
    <t xml:space="preserve">PRM DE DOURADOS</t>
  </si>
  <si>
    <t xml:space="preserve">III</t>
  </si>
  <si>
    <t xml:space="preserve">PRM DE TRÊS LAGOAS</t>
  </si>
  <si>
    <t xml:space="preserve">IV</t>
  </si>
  <si>
    <t xml:space="preserve">PRM DE CORUMBÁ</t>
  </si>
  <si>
    <t xml:space="preserve">VALOR TOTAL MENSAL DOS SERVIÇOS (I+II+III+IV+V+ VI)</t>
  </si>
  <si>
    <t xml:space="preserve">QUADRO RESUMO - ENCARGOS SOCIAIS E TRABALHISTAS EFETIVOS</t>
  </si>
  <si>
    <t xml:space="preserve">Conta</t>
  </si>
  <si>
    <t xml:space="preserve">Servente Dourados</t>
  </si>
  <si>
    <t xml:space="preserve">Servente Três Lagoas</t>
  </si>
  <si>
    <t xml:space="preserve">Servente Corumbá</t>
  </si>
  <si>
    <t xml:space="preserve">Total de Encargos Sociais e Trabalhistas (A)*</t>
  </si>
  <si>
    <t xml:space="preserve">Remuneração (B)</t>
  </si>
  <si>
    <t xml:space="preserve">Encargos Sociais e Trabalhistas Efetivos (C = A / B)</t>
  </si>
  <si>
    <t xml:space="preserve">* Submódulo 2.1 + Submódulo 2.2 + Módulo 3 + Submódulo 4.1</t>
  </si>
  <si>
    <t xml:space="preserve">ão c</t>
  </si>
  <si>
    <t xml:space="preserve">QTDE ESTIMADA DE ENCARREGADO</t>
  </si>
  <si>
    <t xml:space="preserve">PRODUTIVIDADE (1/m²)</t>
  </si>
  <si>
    <t xml:space="preserve">QTDE ESTIMADA</t>
  </si>
  <si>
    <t xml:space="preserve">(C) </t>
  </si>
  <si>
    <t xml:space="preserve">D = (B / C), exceto para esquadrias, onde D = (B * C)</t>
  </si>
  <si>
    <t xml:space="preserve">Almoxarifados</t>
  </si>
  <si>
    <t xml:space="preserve">Índice sem arredondamento</t>
  </si>
  <si>
    <t xml:space="preserve">QTDE ESTIMADA DE SERVENTES EM CAMPO GRANDE</t>
  </si>
  <si>
    <t xml:space="preserve">QTDE ESTIMADA DE SERVENTES</t>
  </si>
  <si>
    <t xml:space="preserve">QTDE ESTIMADA DE SERVENTES EM DOURADOS</t>
  </si>
  <si>
    <t xml:space="preserve">QTDE ESTIMADA DE SERVENTES EM TRÊS LAGOAS</t>
  </si>
  <si>
    <t xml:space="preserve">QTDE ESTIMADA DE SERVENTES EM CORUMBÁ</t>
  </si>
  <si>
    <t xml:space="preserve">QTDE TOTAL ESTIMADA DE FUNCIONÁRIOS EMPREGADOS NA EXECUÇÃO DO CONTRATO</t>
  </si>
  <si>
    <t xml:space="preserve">SERVENTES</t>
  </si>
  <si>
    <t xml:space="preserve">UNIDADE</t>
  </si>
  <si>
    <t xml:space="preserve">TOTAL DE SERVENTES A SEREM DISPONIBILIZADOS</t>
  </si>
  <si>
    <t xml:space="preserve">ENCARREGADOS</t>
  </si>
  <si>
    <t xml:space="preserve">TOTAL DE ENCARREGADOS A SEREM DISPONIBILIZADOS</t>
  </si>
  <si>
    <t xml:space="preserve">Obs: A quantidade estimada de serventes será arredondada para cima em caso de índice menor que 1 (um) inteiro. Se o índice for maior que 1, será arredondado para baixo. Em caso de alteração do número estimado na presente planilha para contratação, deverão ser observadas todas as alterações consequentes nas tabelas de materiais e no custo do metro quadrado do encarregado.</t>
  </si>
</sst>
</file>

<file path=xl/styles.xml><?xml version="1.0" encoding="utf-8"?>
<styleSheet xmlns="http://schemas.openxmlformats.org/spreadsheetml/2006/main">
  <numFmts count="21">
    <numFmt numFmtId="164" formatCode="General"/>
    <numFmt numFmtId="165" formatCode="D/M/YYYY"/>
    <numFmt numFmtId="166" formatCode="@"/>
    <numFmt numFmtId="167" formatCode="#,##0"/>
    <numFmt numFmtId="168" formatCode="#,##0.00"/>
    <numFmt numFmtId="169" formatCode="General"/>
    <numFmt numFmtId="170" formatCode="#,##0.00_);\(#,##0.00\)"/>
    <numFmt numFmtId="171" formatCode="#,##0_);\(#,##0\)"/>
    <numFmt numFmtId="172" formatCode="[$R$-416]\ #,##0.00;[RED]\-[$R$-416]\ #,##0.00"/>
    <numFmt numFmtId="173" formatCode="_-* #,##0.00_-;\-* #,##0.00_-;_-* \-??_-;_-@_-"/>
    <numFmt numFmtId="174" formatCode="#,##0.0"/>
    <numFmt numFmtId="175" formatCode="0.00"/>
    <numFmt numFmtId="176" formatCode="#,##0.00_ ;\-#,##0.00\ "/>
    <numFmt numFmtId="177" formatCode="0.000000000"/>
    <numFmt numFmtId="178" formatCode="0.000000"/>
    <numFmt numFmtId="179" formatCode="0.000000000000"/>
    <numFmt numFmtId="180" formatCode="_-&quot;R$ &quot;* #,##0.00_-;&quot;-R$ &quot;* #,##0.00_-;_-&quot;R$ &quot;* \-??_-;_-@_-"/>
    <numFmt numFmtId="181" formatCode="&quot;R$ &quot;#,##0.00"/>
    <numFmt numFmtId="182" formatCode="0.00%"/>
    <numFmt numFmtId="183" formatCode="0.00000"/>
    <numFmt numFmtId="184" formatCode="#,##0.000000000"/>
  </numFmts>
  <fonts count="42">
    <font>
      <sz val="10"/>
      <name val="Arial"/>
      <family val="2"/>
      <charset val="1"/>
    </font>
    <font>
      <sz val="10"/>
      <name val="Arial"/>
      <family val="0"/>
    </font>
    <font>
      <sz val="10"/>
      <name val="Arial"/>
      <family val="0"/>
    </font>
    <font>
      <sz val="10"/>
      <name val="Arial"/>
      <family val="0"/>
    </font>
    <font>
      <b val="true"/>
      <sz val="18"/>
      <color rgb="FF003366"/>
      <name val="Cambria"/>
      <family val="2"/>
      <charset val="1"/>
    </font>
    <font>
      <b val="true"/>
      <sz val="15"/>
      <color rgb="FF003366"/>
      <name val="Calibri"/>
      <family val="2"/>
      <charset val="1"/>
    </font>
    <font>
      <sz val="11"/>
      <name val="Segoe UI Light"/>
      <family val="2"/>
      <charset val="1"/>
    </font>
    <font>
      <sz val="14"/>
      <name val="Segoe UI Light"/>
      <family val="2"/>
      <charset val="1"/>
    </font>
    <font>
      <sz val="8"/>
      <name val="Segoe UI Light"/>
      <family val="2"/>
      <charset val="1"/>
    </font>
    <font>
      <b val="true"/>
      <sz val="16"/>
      <color rgb="FF632523"/>
      <name val="Segoe UI Light"/>
      <family val="2"/>
      <charset val="1"/>
    </font>
    <font>
      <b val="true"/>
      <sz val="11"/>
      <color rgb="FFFFFFFF"/>
      <name val="Segoe UI Light"/>
      <family val="2"/>
      <charset val="1"/>
    </font>
    <font>
      <b val="true"/>
      <sz val="11"/>
      <name val="Segoe UI Light"/>
      <family val="2"/>
      <charset val="1"/>
    </font>
    <font>
      <b val="true"/>
      <sz val="12"/>
      <name val="Segoe UI Light"/>
      <family val="2"/>
      <charset val="1"/>
    </font>
    <font>
      <b val="true"/>
      <sz val="11"/>
      <color rgb="FF632523"/>
      <name val="Segoe UI Light"/>
      <family val="2"/>
      <charset val="1"/>
    </font>
    <font>
      <sz val="11"/>
      <color rgb="FFFF0000"/>
      <name val="Segoe UI Light"/>
      <family val="2"/>
      <charset val="1"/>
    </font>
    <font>
      <b val="true"/>
      <sz val="11"/>
      <color rgb="FFFF0000"/>
      <name val="Segoe UI Light"/>
      <family val="2"/>
      <charset val="1"/>
    </font>
    <font>
      <b val="true"/>
      <sz val="10"/>
      <name val="Segoe UI Light"/>
      <family val="2"/>
      <charset val="1"/>
    </font>
    <font>
      <b val="true"/>
      <sz val="10"/>
      <color rgb="FFFF0000"/>
      <name val="Segoe UI Light"/>
      <family val="2"/>
      <charset val="1"/>
    </font>
    <font>
      <i val="true"/>
      <sz val="10"/>
      <color rgb="FFFFFFFF"/>
      <name val="Segoe UI Light"/>
      <family val="2"/>
      <charset val="1"/>
    </font>
    <font>
      <b val="true"/>
      <sz val="14"/>
      <color rgb="FF953735"/>
      <name val="Segoe UI Light"/>
      <family val="2"/>
      <charset val="1"/>
    </font>
    <font>
      <sz val="11"/>
      <color rgb="FF953735"/>
      <name val="Segoe UI Light"/>
      <family val="2"/>
      <charset val="1"/>
    </font>
    <font>
      <b val="true"/>
      <sz val="18"/>
      <color rgb="FF953735"/>
      <name val="Segoe UI Light"/>
      <family val="2"/>
      <charset val="1"/>
    </font>
    <font>
      <b val="true"/>
      <sz val="10"/>
      <color rgb="FFFFFFFF"/>
      <name val="Segoe UI Light"/>
      <family val="2"/>
      <charset val="1"/>
    </font>
    <font>
      <sz val="11"/>
      <color rgb="FFFFFFFF"/>
      <name val="Segoe UI Light"/>
      <family val="2"/>
      <charset val="1"/>
    </font>
    <font>
      <sz val="10"/>
      <name val="Segoe UI Light"/>
      <family val="2"/>
      <charset val="1"/>
    </font>
    <font>
      <b val="true"/>
      <sz val="12"/>
      <color rgb="FF632523"/>
      <name val="Segoe UI Light"/>
      <family val="2"/>
      <charset val="1"/>
    </font>
    <font>
      <b val="true"/>
      <sz val="20"/>
      <color rgb="FF953735"/>
      <name val="Segoe UI Light"/>
      <family val="2"/>
      <charset val="1"/>
    </font>
    <font>
      <i val="true"/>
      <sz val="10"/>
      <name val="Segoe UI Light"/>
      <family val="2"/>
      <charset val="1"/>
    </font>
    <font>
      <b val="true"/>
      <sz val="14"/>
      <color rgb="FF632523"/>
      <name val="Segoe UI Light"/>
      <family val="2"/>
      <charset val="1"/>
    </font>
    <font>
      <b val="true"/>
      <sz val="14"/>
      <color rgb="FF984807"/>
      <name val="Segoe UI Light"/>
      <family val="2"/>
      <charset val="1"/>
    </font>
    <font>
      <b val="true"/>
      <sz val="12"/>
      <color rgb="FF984807"/>
      <name val="Segoe UI Light"/>
      <family val="2"/>
      <charset val="1"/>
    </font>
    <font>
      <sz val="10"/>
      <color rgb="FFFF0000"/>
      <name val="Segoe UI Light"/>
      <family val="2"/>
      <charset val="1"/>
    </font>
    <font>
      <b val="true"/>
      <sz val="11"/>
      <color rgb="FF984807"/>
      <name val="Segoe UI Light"/>
      <family val="2"/>
      <charset val="1"/>
    </font>
    <font>
      <sz val="10"/>
      <color rgb="FF984807"/>
      <name val="Segoe UI Light"/>
      <family val="2"/>
      <charset val="1"/>
    </font>
    <font>
      <sz val="8"/>
      <color rgb="FF984807"/>
      <name val="Segoe UI Light"/>
      <family val="2"/>
      <charset val="1"/>
    </font>
    <font>
      <b val="true"/>
      <sz val="14"/>
      <name val="Segoe UI Light"/>
      <family val="2"/>
      <charset val="1"/>
    </font>
    <font>
      <b val="true"/>
      <sz val="12"/>
      <color rgb="FFFFFFFF"/>
      <name val="Segoe UI Light"/>
      <family val="2"/>
      <charset val="1"/>
    </font>
    <font>
      <sz val="12"/>
      <color rgb="FFFFFFFF"/>
      <name val="Segoe UI Light"/>
      <family val="2"/>
      <charset val="1"/>
    </font>
    <font>
      <sz val="12"/>
      <name val="Segoe UI Light"/>
      <family val="2"/>
      <charset val="1"/>
    </font>
    <font>
      <sz val="10"/>
      <name val="Arial"/>
      <family val="0"/>
      <charset val="1"/>
    </font>
    <font>
      <b val="true"/>
      <sz val="12"/>
      <color rgb="FFFFFFFF"/>
      <name val="Arial"/>
      <family val="2"/>
      <charset val="1"/>
    </font>
    <font>
      <sz val="12"/>
      <name val="Arial"/>
      <family val="2"/>
      <charset val="1"/>
    </font>
  </fonts>
  <fills count="10">
    <fill>
      <patternFill patternType="none"/>
    </fill>
    <fill>
      <patternFill patternType="gray125"/>
    </fill>
    <fill>
      <patternFill patternType="solid">
        <fgColor rgb="FFFFFFFF"/>
        <bgColor rgb="FFF2F2F2"/>
      </patternFill>
    </fill>
    <fill>
      <patternFill patternType="solid">
        <fgColor rgb="FFF79646"/>
        <bgColor rgb="FFFF8080"/>
      </patternFill>
    </fill>
    <fill>
      <patternFill patternType="solid">
        <fgColor rgb="FFFDEADA"/>
        <bgColor rgb="FFF2F2F2"/>
      </patternFill>
    </fill>
    <fill>
      <patternFill patternType="solid">
        <fgColor rgb="FFD55816"/>
        <bgColor rgb="FFC55A11"/>
      </patternFill>
    </fill>
    <fill>
      <patternFill patternType="solid">
        <fgColor rgb="FFFCD5B5"/>
        <bgColor rgb="FFFDEADA"/>
      </patternFill>
    </fill>
    <fill>
      <patternFill patternType="solid">
        <fgColor rgb="FFFFFF00"/>
        <bgColor rgb="FFFFFF00"/>
      </patternFill>
    </fill>
    <fill>
      <patternFill patternType="solid">
        <fgColor rgb="FFC55A11"/>
        <bgColor rgb="FFD55816"/>
      </patternFill>
    </fill>
    <fill>
      <patternFill patternType="solid">
        <fgColor rgb="FFFAC090"/>
        <bgColor rgb="FFFCD5B5"/>
      </patternFill>
    </fill>
  </fills>
  <borders count="14">
    <border diagonalUp="false" diagonalDown="false">
      <left/>
      <right/>
      <top/>
      <bottom/>
      <diagonal/>
    </border>
    <border diagonalUp="false" diagonalDown="false">
      <left/>
      <right/>
      <top/>
      <bottom style="thick">
        <color rgb="FF333399"/>
      </bottom>
      <diagonal/>
    </border>
    <border diagonalUp="false" diagonalDown="false">
      <left style="thin">
        <color rgb="FFF2F2F2"/>
      </left>
      <right style="thin">
        <color rgb="FFF2F2F2"/>
      </right>
      <top style="thin">
        <color rgb="FFF2F2F2"/>
      </top>
      <bottom style="thin">
        <color rgb="FFF2F2F2"/>
      </bottom>
      <diagonal/>
    </border>
    <border diagonalUp="false" diagonalDown="false">
      <left style="thin">
        <color rgb="FFF2F2F2"/>
      </left>
      <right/>
      <top style="thin">
        <color rgb="FFF2F2F2"/>
      </top>
      <bottom style="thin">
        <color rgb="FFF2F2F2"/>
      </bottom>
      <diagonal/>
    </border>
    <border diagonalUp="false" diagonalDown="false">
      <left/>
      <right/>
      <top style="thin">
        <color rgb="FFF2F2F2"/>
      </top>
      <bottom style="thin">
        <color rgb="FFF2F2F2"/>
      </bottom>
      <diagonal/>
    </border>
    <border diagonalUp="false" diagonalDown="false">
      <left style="thin">
        <color rgb="FFF2F2F2"/>
      </left>
      <right style="thin">
        <color rgb="FFF2F2F2"/>
      </right>
      <top/>
      <bottom style="thin">
        <color rgb="FFF2F2F2"/>
      </bottom>
      <diagonal/>
    </border>
    <border diagonalUp="false" diagonalDown="false">
      <left/>
      <right style="thin">
        <color rgb="FFF2F2F2"/>
      </right>
      <top style="thin">
        <color rgb="FFF2F2F2"/>
      </top>
      <bottom style="thin">
        <color rgb="FFF2F2F2"/>
      </bottom>
      <diagonal/>
    </border>
    <border diagonalUp="false" diagonalDown="false">
      <left style="hair">
        <color rgb="FFFFFFFF"/>
      </left>
      <right style="hair">
        <color rgb="FFFFFFFF"/>
      </right>
      <top style="hair">
        <color rgb="FFFFFFFF"/>
      </top>
      <bottom style="hair">
        <color rgb="FFFFFFFF"/>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F2F2F2"/>
      </left>
      <right style="thin">
        <color rgb="FFF2F2F2"/>
      </right>
      <top style="thin">
        <color rgb="FFF2F2F2"/>
      </top>
      <bottom/>
      <diagonal/>
    </border>
    <border diagonalUp="false" diagonalDown="false">
      <left/>
      <right style="thin">
        <color rgb="FFF2F2F2"/>
      </right>
      <top/>
      <bottom/>
      <diagonal/>
    </border>
    <border diagonalUp="false" diagonalDown="false">
      <left/>
      <right/>
      <top style="thin">
        <color rgb="FFF2F2F2"/>
      </top>
      <bottom/>
      <diagonal/>
    </border>
    <border diagonalUp="false" diagonalDown="false">
      <left style="thin">
        <color rgb="FFF2F2F2"/>
      </left>
      <right style="thin">
        <color rgb="FFF2F2F2"/>
      </right>
      <top/>
      <bottom/>
      <diagonal/>
    </border>
    <border diagonalUp="false" diagonalDown="false">
      <left/>
      <right/>
      <top/>
      <bottom style="thin">
        <color rgb="FFF2F2F2"/>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3"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80" fontId="39"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1" applyFont="true" applyBorder="true" applyAlignment="true" applyProtection="false">
      <alignment horizontal="general" vertical="bottom" textRotation="0" wrapText="false" indent="0" shrinkToFit="false"/>
    </xf>
  </cellStyleXfs>
  <cellXfs count="27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7" fillId="4" borderId="3" xfId="0" applyFont="true" applyBorder="true" applyAlignment="true" applyProtection="true">
      <alignment horizontal="right" vertical="bottom" textRotation="0" wrapText="false" indent="0" shrinkToFit="false"/>
      <protection locked="true" hidden="false"/>
    </xf>
    <xf numFmtId="165" fontId="7" fillId="3" borderId="4" xfId="0" applyFont="true" applyBorder="true" applyAlignment="true" applyProtection="true">
      <alignment horizontal="general" vertical="bottom" textRotation="0" wrapText="false" indent="0" shrinkToFit="false"/>
      <protection locked="fals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10" fillId="5" borderId="5" xfId="0" applyFont="true" applyBorder="true" applyAlignment="true" applyProtection="true">
      <alignment horizontal="left" vertical="bottom" textRotation="0" wrapText="false" indent="0" shrinkToFit="false"/>
      <protection locked="true" hidden="false"/>
    </xf>
    <xf numFmtId="164" fontId="6" fillId="6" borderId="2" xfId="0" applyFont="true" applyBorder="true" applyAlignment="true" applyProtection="true">
      <alignment horizontal="left"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false" indent="0" shrinkToFit="false"/>
      <protection locked="false" hidden="false"/>
    </xf>
    <xf numFmtId="164" fontId="6" fillId="4" borderId="2" xfId="0" applyFont="true" applyBorder="true" applyAlignment="true" applyProtection="true">
      <alignment horizontal="left" vertical="bottom" textRotation="0" wrapText="false" indent="0" shrinkToFit="false"/>
      <protection locked="true" hidden="false"/>
    </xf>
    <xf numFmtId="164" fontId="6" fillId="3" borderId="2" xfId="0" applyFont="true" applyBorder="true" applyAlignment="true" applyProtection="true">
      <alignment horizontal="right" vertical="bottom" textRotation="0" wrapText="false" indent="0" shrinkToFit="false"/>
      <protection locked="false" hidden="false"/>
    </xf>
    <xf numFmtId="166" fontId="6" fillId="3" borderId="2" xfId="0" applyFont="true" applyBorder="true" applyAlignment="true" applyProtection="true">
      <alignment horizontal="center" vertical="bottom" textRotation="0" wrapText="false" indent="0" shrinkToFit="false"/>
      <protection locked="false" hidden="false"/>
    </xf>
    <xf numFmtId="164" fontId="8" fillId="2" borderId="0" xfId="0" applyFont="true" applyBorder="true" applyAlignment="fals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left" vertical="bottom" textRotation="0" wrapText="false" indent="0" shrinkToFit="false"/>
      <protection locked="true" hidden="false"/>
    </xf>
    <xf numFmtId="166" fontId="6" fillId="2" borderId="0" xfId="0" applyFont="true" applyBorder="true" applyAlignment="true" applyProtection="true">
      <alignment horizontal="center" vertical="bottom" textRotation="0" wrapText="false" indent="0" shrinkToFit="false"/>
      <protection locked="true" hidden="false"/>
    </xf>
    <xf numFmtId="164" fontId="12" fillId="7" borderId="0" xfId="0" applyFont="true" applyBorder="true" applyAlignment="true" applyProtection="true">
      <alignment horizontal="general" vertical="bottom" textRotation="0" wrapText="true" indent="0" shrinkToFit="false"/>
      <protection locked="true" hidden="false"/>
    </xf>
    <xf numFmtId="164" fontId="12" fillId="2" borderId="0" xfId="0" applyFont="true" applyBorder="false" applyAlignment="false" applyProtection="true">
      <alignment horizontal="general" vertical="bottom" textRotation="0" wrapText="false" indent="0" shrinkToFit="false"/>
      <protection locked="true" hidden="false"/>
    </xf>
    <xf numFmtId="164" fontId="10" fillId="5" borderId="2" xfId="0" applyFont="true" applyBorder="true" applyAlignment="true" applyProtection="true">
      <alignment horizontal="center" vertical="bottom" textRotation="0" wrapText="false" indent="0" shrinkToFit="false"/>
      <protection locked="true" hidden="false"/>
    </xf>
    <xf numFmtId="165" fontId="6" fillId="3" borderId="2" xfId="0" applyFont="true" applyBorder="true" applyAlignment="true" applyProtection="true">
      <alignment horizontal="center" vertical="bottom" textRotation="0" wrapText="false" indent="0" shrinkToFit="false"/>
      <protection locked="false" hidden="false"/>
    </xf>
    <xf numFmtId="164" fontId="10" fillId="5" borderId="2" xfId="0" applyFont="true" applyBorder="true" applyAlignment="true" applyProtection="true">
      <alignment horizontal="center" vertical="center" textRotation="0" wrapText="false" indent="0" shrinkToFit="false"/>
      <protection locked="true" hidden="false"/>
    </xf>
    <xf numFmtId="164" fontId="6" fillId="4" borderId="2" xfId="0" applyFont="true" applyBorder="true" applyAlignment="true" applyProtection="true">
      <alignment horizontal="justify" vertical="center" textRotation="0" wrapText="true" indent="0" shrinkToFit="false"/>
      <protection locked="true" hidden="false"/>
    </xf>
    <xf numFmtId="164" fontId="6" fillId="3" borderId="2" xfId="0" applyFont="true" applyBorder="true" applyAlignment="true" applyProtection="true">
      <alignment horizontal="left" vertical="center" textRotation="0" wrapText="false" indent="0" shrinkToFit="false"/>
      <protection locked="false" hidden="false"/>
    </xf>
    <xf numFmtId="164" fontId="6" fillId="3" borderId="2" xfId="0" applyFont="true" applyBorder="true" applyAlignment="true" applyProtection="true">
      <alignment horizontal="center" vertical="center" textRotation="0" wrapText="false" indent="0" shrinkToFit="false"/>
      <protection locked="false" hidden="false"/>
    </xf>
    <xf numFmtId="164" fontId="6" fillId="4" borderId="2" xfId="0" applyFont="true" applyBorder="true" applyAlignment="true" applyProtection="true">
      <alignment horizontal="left" vertical="center" textRotation="0" wrapText="true" indent="0" shrinkToFit="false"/>
      <protection locked="true" hidden="false"/>
    </xf>
    <xf numFmtId="164" fontId="6" fillId="6" borderId="2" xfId="0" applyFont="true" applyBorder="true" applyAlignment="true" applyProtection="true">
      <alignment horizontal="center" vertical="bottom"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10" fillId="5" borderId="3" xfId="0" applyFont="true" applyBorder="true" applyAlignment="true" applyProtection="true">
      <alignment horizontal="center" vertical="center" textRotation="0" wrapText="false" indent="0" shrinkToFit="false"/>
      <protection locked="true" hidden="false"/>
    </xf>
    <xf numFmtId="164" fontId="10" fillId="5" borderId="6" xfId="0" applyFont="true" applyBorder="true" applyAlignment="true" applyProtection="true">
      <alignment horizontal="center" vertical="center" textRotation="0" wrapText="true" indent="0" shrinkToFit="false"/>
      <protection locked="true" hidden="false"/>
    </xf>
    <xf numFmtId="164" fontId="10" fillId="5" borderId="3" xfId="0" applyFont="true" applyBorder="true" applyAlignment="true" applyProtection="true">
      <alignment horizontal="center" vertical="center" textRotation="0" wrapText="true" indent="0" shrinkToFit="false"/>
      <protection locked="true" hidden="false"/>
    </xf>
    <xf numFmtId="166" fontId="6" fillId="6" borderId="3" xfId="0" applyFont="true" applyBorder="true" applyAlignment="true" applyProtection="true">
      <alignment horizontal="general" vertical="center" textRotation="0" wrapText="true" indent="0" shrinkToFit="false"/>
      <protection locked="true" hidden="false"/>
    </xf>
    <xf numFmtId="166" fontId="6" fillId="3" borderId="2" xfId="0" applyFont="true" applyBorder="true" applyAlignment="true" applyProtection="true">
      <alignment horizontal="center" vertical="center" textRotation="0" wrapText="true" indent="0" shrinkToFit="false"/>
      <protection locked="fals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8" fontId="6" fillId="7" borderId="3" xfId="0" applyFont="true" applyBorder="true" applyAlignment="true" applyProtection="true">
      <alignment horizontal="general" vertical="center" textRotation="0" wrapText="true" indent="0" shrinkToFit="false"/>
      <protection locked="false" hidden="false"/>
    </xf>
    <xf numFmtId="166" fontId="6" fillId="4" borderId="3" xfId="0" applyFont="true" applyBorder="true" applyAlignment="true" applyProtection="true">
      <alignment horizontal="general" vertical="center" textRotation="0" wrapText="true" indent="0" shrinkToFit="false"/>
      <protection locked="true" hidden="false"/>
    </xf>
    <xf numFmtId="167" fontId="0" fillId="3" borderId="7" xfId="0" applyFont="false" applyBorder="true" applyAlignment="false" applyProtection="false">
      <alignment horizontal="general" vertical="bottom" textRotation="0" wrapText="false" indent="0" shrinkToFit="false"/>
      <protection locked="true" hidden="false"/>
    </xf>
    <xf numFmtId="169" fontId="0" fillId="3"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true">
      <alignment horizontal="center" vertical="bottom" textRotation="0" wrapText="false" indent="0" shrinkToFit="false"/>
      <protection locked="true" hidden="false"/>
    </xf>
    <xf numFmtId="164" fontId="6" fillId="4" borderId="2" xfId="0" applyFont="true" applyBorder="tru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center" vertical="bottom" textRotation="0" wrapText="false" indent="0" shrinkToFit="false"/>
      <protection locked="false" hidden="false"/>
    </xf>
    <xf numFmtId="168" fontId="6" fillId="3" borderId="2" xfId="0" applyFont="true" applyBorder="true" applyAlignment="true" applyProtection="true">
      <alignment horizontal="right" vertical="bottom" textRotation="0" wrapText="false" indent="0" shrinkToFit="false"/>
      <protection locked="false" hidden="false"/>
    </xf>
    <xf numFmtId="164" fontId="10" fillId="2" borderId="0" xfId="0" applyFont="true" applyBorder="true" applyAlignment="true" applyProtection="true">
      <alignment horizontal="center" vertical="bottom" textRotation="0" wrapText="false" indent="0" shrinkToFit="false"/>
      <protection locked="true" hidden="false"/>
    </xf>
    <xf numFmtId="164" fontId="6" fillId="2" borderId="0" xfId="0" applyFont="true" applyBorder="true" applyAlignment="true" applyProtection="true">
      <alignment horizontal="left"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13" fillId="2" borderId="0" xfId="0" applyFont="true" applyBorder="false" applyAlignment="true" applyProtection="true">
      <alignment horizontal="left" vertical="bottom" textRotation="0" wrapText="false" indent="0" shrinkToFit="false"/>
      <protection locked="true" hidden="false"/>
    </xf>
    <xf numFmtId="170" fontId="6" fillId="2" borderId="0" xfId="0" applyFont="true" applyBorder="true" applyAlignment="true" applyProtection="true">
      <alignment horizontal="right" vertical="bottom" textRotation="0" wrapText="false" indent="0" shrinkToFit="false"/>
      <protection locked="true" hidden="false"/>
    </xf>
    <xf numFmtId="164" fontId="10" fillId="5" borderId="2" xfId="0" applyFont="true" applyBorder="true" applyAlignment="true" applyProtection="true">
      <alignment horizontal="left" vertical="center" textRotation="0" wrapText="true" indent="0" shrinkToFit="false"/>
      <protection locked="true" hidden="false"/>
    </xf>
    <xf numFmtId="164" fontId="10" fillId="5" borderId="2" xfId="0" applyFont="true" applyBorder="true" applyAlignment="true" applyProtection="true">
      <alignment horizontal="center" vertical="center" textRotation="0" wrapText="true" indent="0" shrinkToFit="false"/>
      <protection locked="true" hidden="false"/>
    </xf>
    <xf numFmtId="170" fontId="6" fillId="4" borderId="2" xfId="0" applyFont="true" applyBorder="true" applyAlignment="true" applyProtection="true">
      <alignment horizontal="left" vertical="center" textRotation="0" wrapText="true" indent="0" shrinkToFit="false"/>
      <protection locked="true" hidden="false"/>
    </xf>
    <xf numFmtId="167" fontId="6" fillId="3" borderId="2" xfId="0" applyFont="true" applyBorder="true" applyAlignment="true" applyProtection="true">
      <alignment horizontal="right" vertical="center" textRotation="0" wrapText="true" indent="0" shrinkToFit="false"/>
      <protection locked="false" hidden="false"/>
    </xf>
    <xf numFmtId="170" fontId="6" fillId="3" borderId="2" xfId="0" applyFont="true" applyBorder="true" applyAlignment="true" applyProtection="true">
      <alignment horizontal="left" vertical="center" textRotation="0" wrapText="true" indent="0" shrinkToFit="false"/>
      <protection locked="false" hidden="false"/>
    </xf>
    <xf numFmtId="168" fontId="6" fillId="7" borderId="2" xfId="0" applyFont="true" applyBorder="true" applyAlignment="true" applyProtection="true">
      <alignment horizontal="right" vertical="center" textRotation="0" wrapText="true" indent="0" shrinkToFit="false"/>
      <protection locked="false" hidden="false"/>
    </xf>
    <xf numFmtId="164" fontId="14" fillId="2" borderId="0" xfId="0" applyFont="true" applyBorder="false" applyAlignment="false" applyProtection="true">
      <alignment horizontal="general" vertical="bottom" textRotation="0" wrapText="false" indent="0" shrinkToFit="false"/>
      <protection locked="true" hidden="false"/>
    </xf>
    <xf numFmtId="168" fontId="6" fillId="3" borderId="2" xfId="0" applyFont="true" applyBorder="true" applyAlignment="true" applyProtection="true">
      <alignment horizontal="right" vertical="center" textRotation="0" wrapText="true" indent="0" shrinkToFit="false"/>
      <protection locked="false" hidden="false"/>
    </xf>
    <xf numFmtId="170" fontId="6" fillId="2" borderId="0" xfId="0" applyFont="true" applyBorder="fals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true">
      <alignment horizontal="left" vertical="bottom" textRotation="0" wrapText="true" indent="0" shrinkToFit="false"/>
      <protection locked="true" hidden="false"/>
    </xf>
    <xf numFmtId="164" fontId="10" fillId="5" borderId="2" xfId="0" applyFont="true" applyBorder="true" applyAlignment="true" applyProtection="true">
      <alignment horizontal="justify" vertical="center" textRotation="0" wrapText="true" indent="0" shrinkToFit="false"/>
      <protection locked="true" hidden="false"/>
    </xf>
    <xf numFmtId="164" fontId="6" fillId="6" borderId="2" xfId="0" applyFont="true" applyBorder="true" applyAlignment="true" applyProtection="true">
      <alignment horizontal="left" vertical="center" textRotation="0" wrapText="true" indent="0" shrinkToFit="false"/>
      <protection locked="true" hidden="false"/>
    </xf>
    <xf numFmtId="168" fontId="6" fillId="7" borderId="2" xfId="0" applyFont="true" applyBorder="true" applyAlignment="true" applyProtection="true">
      <alignment horizontal="right" vertical="center" textRotation="0" wrapText="true" indent="0" shrinkToFit="false"/>
      <protection locked="true" hidden="false"/>
    </xf>
    <xf numFmtId="164" fontId="10" fillId="5" borderId="2" xfId="0" applyFont="true" applyBorder="true" applyAlignment="true" applyProtection="true">
      <alignment horizontal="left" vertical="center" textRotation="0" wrapText="false" indent="0" shrinkToFit="false"/>
      <protection locked="true" hidden="false"/>
    </xf>
    <xf numFmtId="168" fontId="10" fillId="5" borderId="2" xfId="0" applyFont="true" applyBorder="true" applyAlignment="true" applyProtection="true">
      <alignment horizontal="right"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true" indent="0" shrinkToFit="false"/>
      <protection locked="true" hidden="false"/>
    </xf>
    <xf numFmtId="164" fontId="10" fillId="5" borderId="6" xfId="0" applyFont="true" applyBorder="true" applyAlignment="true" applyProtection="true">
      <alignment horizontal="center" vertical="center" textRotation="0" wrapText="false" indent="0" shrinkToFit="false"/>
      <protection locked="true" hidden="false"/>
    </xf>
    <xf numFmtId="164" fontId="11" fillId="6" borderId="2" xfId="0" applyFont="true" applyBorder="true" applyAlignment="true" applyProtection="true">
      <alignment horizontal="left" vertical="bottom" textRotation="0" wrapText="false" indent="0" shrinkToFit="false"/>
      <protection locked="true" hidden="false"/>
    </xf>
    <xf numFmtId="170" fontId="6" fillId="7" borderId="2" xfId="0" applyFont="true" applyBorder="true" applyAlignment="true" applyProtection="true">
      <alignment horizontal="right" vertical="center" textRotation="0" wrapText="true" indent="0" shrinkToFit="false"/>
      <protection locked="false" hidden="false"/>
    </xf>
    <xf numFmtId="164" fontId="6" fillId="4" borderId="2" xfId="0" applyFont="true" applyBorder="true" applyAlignment="true" applyProtection="true">
      <alignment horizontal="center" vertical="bottom" textRotation="0" wrapText="false" indent="0" shrinkToFit="false"/>
      <protection locked="true" hidden="false"/>
    </xf>
    <xf numFmtId="171" fontId="6" fillId="3" borderId="2" xfId="0" applyFont="true" applyBorder="true" applyAlignment="true" applyProtection="true">
      <alignment horizontal="right" vertical="center" textRotation="0" wrapText="true" indent="0" shrinkToFit="false"/>
      <protection locked="false" hidden="false"/>
    </xf>
    <xf numFmtId="168" fontId="11" fillId="7" borderId="2" xfId="0" applyFont="true" applyBorder="true" applyAlignment="true" applyProtection="true">
      <alignment horizontal="right" vertical="center" textRotation="0" wrapText="true" indent="0" shrinkToFit="false"/>
      <protection locked="false" hidden="false"/>
    </xf>
    <xf numFmtId="164" fontId="16" fillId="7" borderId="0" xfId="0" applyFont="true" applyBorder="false" applyAlignment="false" applyProtection="true">
      <alignment horizontal="general" vertical="bottom" textRotation="0" wrapText="false" indent="0" shrinkToFit="false"/>
      <protection locked="true" hidden="false"/>
    </xf>
    <xf numFmtId="164" fontId="17" fillId="7" borderId="0" xfId="0" applyFont="true" applyBorder="false" applyAlignment="false" applyProtection="true">
      <alignment horizontal="general" vertical="bottom" textRotation="0" wrapText="false" indent="0" shrinkToFit="false"/>
      <protection locked="true" hidden="false"/>
    </xf>
    <xf numFmtId="164" fontId="6" fillId="7" borderId="0" xfId="0" applyFont="true" applyBorder="false" applyAlignment="false" applyProtection="true">
      <alignment horizontal="general" vertical="bottom" textRotation="0" wrapText="false" indent="0" shrinkToFit="false"/>
      <protection locked="true" hidden="false"/>
    </xf>
    <xf numFmtId="168" fontId="11" fillId="3" borderId="2" xfId="0" applyFont="true" applyBorder="true" applyAlignment="true" applyProtection="true">
      <alignment horizontal="right" vertical="center" textRotation="0" wrapText="true" indent="0" shrinkToFit="false"/>
      <protection locked="false" hidden="false"/>
    </xf>
    <xf numFmtId="164" fontId="11" fillId="2" borderId="0" xfId="0" applyFont="true" applyBorder="true" applyAlignment="true" applyProtection="true">
      <alignment horizontal="left" vertical="center" textRotation="0" wrapText="true" indent="0" shrinkToFit="false"/>
      <protection locked="true" hidden="false"/>
    </xf>
    <xf numFmtId="164" fontId="11" fillId="2" borderId="0" xfId="0" applyFont="true" applyBorder="true" applyAlignment="true" applyProtection="true">
      <alignment horizontal="center" vertical="center" textRotation="0" wrapText="true" indent="0" shrinkToFit="false"/>
      <protection locked="true" hidden="false"/>
    </xf>
    <xf numFmtId="170" fontId="11" fillId="2" borderId="0" xfId="0" applyFont="true" applyBorder="true" applyAlignment="true" applyProtection="true">
      <alignment horizontal="center" vertical="center" textRotation="0" wrapText="true" indent="0" shrinkToFit="false"/>
      <protection locked="true" hidden="false"/>
    </xf>
    <xf numFmtId="168" fontId="6" fillId="3" borderId="2" xfId="0" applyFont="true" applyBorder="true" applyAlignment="true" applyProtection="true">
      <alignment horizontal="left" vertical="center" textRotation="0" wrapText="true" indent="0" shrinkToFit="false"/>
      <protection locked="false" hidden="false"/>
    </xf>
    <xf numFmtId="170" fontId="6" fillId="3" borderId="2" xfId="0" applyFont="true" applyBorder="true" applyAlignment="true" applyProtection="true">
      <alignment horizontal="center" vertical="center" textRotation="0" wrapText="true" indent="0" shrinkToFit="false"/>
      <protection locked="false" hidden="false"/>
    </xf>
    <xf numFmtId="170" fontId="6" fillId="6" borderId="2" xfId="0" applyFont="true" applyBorder="true" applyAlignment="true" applyProtection="true">
      <alignment horizontal="left" vertical="center" textRotation="0" wrapText="true" indent="0" shrinkToFit="false"/>
      <protection locked="true" hidden="false"/>
    </xf>
    <xf numFmtId="164" fontId="10" fillId="5" borderId="8" xfId="0" applyFont="true" applyBorder="true" applyAlignment="true" applyProtection="true">
      <alignment horizontal="center" vertical="center" textRotation="0" wrapText="false" indent="0" shrinkToFit="false"/>
      <protection locked="true" hidden="false"/>
    </xf>
    <xf numFmtId="164" fontId="14" fillId="2" borderId="0" xfId="0" applyFont="true" applyBorder="false" applyAlignment="true" applyProtection="true">
      <alignment horizontal="general" vertical="bottom" textRotation="0" wrapText="true" indent="0" shrinkToFit="false"/>
      <protection locked="true" hidden="false"/>
    </xf>
    <xf numFmtId="164" fontId="6" fillId="2" borderId="0" xfId="0" applyFont="true" applyBorder="false" applyAlignment="true" applyProtection="true">
      <alignment horizontal="general" vertical="bottom" textRotation="0" wrapText="true" indent="0" shrinkToFit="false"/>
      <protection locked="true" hidden="false"/>
    </xf>
    <xf numFmtId="164" fontId="14" fillId="2" borderId="0" xfId="0" applyFont="true" applyBorder="false" applyAlignment="true" applyProtection="true">
      <alignment horizontal="center" vertical="bottom" textRotation="0" wrapText="true" indent="0" shrinkToFit="false"/>
      <protection locked="true" hidden="false"/>
    </xf>
    <xf numFmtId="170" fontId="6" fillId="7" borderId="2" xfId="0" applyFont="true" applyBorder="true" applyAlignment="true" applyProtection="true">
      <alignment horizontal="general" vertical="center" textRotation="0" wrapText="true" indent="0" shrinkToFit="false"/>
      <protection locked="false" hidden="false"/>
    </xf>
    <xf numFmtId="172" fontId="6" fillId="2" borderId="0" xfId="0" applyFont="true" applyBorder="false" applyAlignment="true" applyProtection="true">
      <alignment horizontal="general" vertical="bottom" textRotation="0" wrapText="true" indent="0" shrinkToFit="false"/>
      <protection locked="true" hidden="false"/>
    </xf>
    <xf numFmtId="172" fontId="6" fillId="2" borderId="0" xfId="0" applyFont="true" applyBorder="false" applyAlignment="false" applyProtection="true">
      <alignment horizontal="general" vertical="bottom" textRotation="0" wrapText="false" indent="0" shrinkToFit="false"/>
      <protection locked="true" hidden="false"/>
    </xf>
    <xf numFmtId="164" fontId="18" fillId="5" borderId="2" xfId="0" applyFont="true" applyBorder="true" applyAlignment="true" applyProtection="true">
      <alignment horizontal="center" vertical="center" textRotation="0" wrapText="true" indent="0" shrinkToFit="false"/>
      <protection locked="true" hidden="false"/>
    </xf>
    <xf numFmtId="170" fontId="6" fillId="3" borderId="2" xfId="0" applyFont="true" applyBorder="true" applyAlignment="true" applyProtection="true">
      <alignment horizontal="general" vertical="center" textRotation="0" wrapText="true" indent="0" shrinkToFit="false"/>
      <protection locked="false" hidden="false"/>
    </xf>
    <xf numFmtId="164" fontId="19" fillId="2" borderId="0" xfId="0" applyFont="true" applyBorder="true" applyAlignment="true" applyProtection="true">
      <alignment horizontal="left" vertical="center" textRotation="0" wrapText="false" indent="0" shrinkToFit="false"/>
      <protection locked="true" hidden="false"/>
    </xf>
    <xf numFmtId="164" fontId="20" fillId="2" borderId="0" xfId="0" applyFont="true" applyBorder="true" applyAlignment="true" applyProtection="true">
      <alignment horizontal="left" vertical="center" textRotation="0" wrapText="true" indent="0" shrinkToFit="false"/>
      <protection locked="true" hidden="false"/>
    </xf>
    <xf numFmtId="170" fontId="20" fillId="2" borderId="0" xfId="0" applyFont="true" applyBorder="true" applyAlignment="true" applyProtection="true">
      <alignment horizontal="center" vertical="center" textRotation="0" wrapText="true" indent="0" shrinkToFit="false"/>
      <protection locked="true" hidden="false"/>
    </xf>
    <xf numFmtId="164" fontId="6" fillId="2" borderId="0" xfId="0" applyFont="true" applyBorder="true" applyAlignment="true" applyProtection="true">
      <alignment horizontal="justify" vertical="center" textRotation="0" wrapText="true" indent="0" shrinkToFit="false"/>
      <protection locked="true" hidden="false"/>
    </xf>
    <xf numFmtId="164" fontId="21" fillId="2" borderId="0" xfId="0" applyFont="true" applyBorder="true" applyAlignment="true" applyProtection="true">
      <alignment horizontal="center" vertical="center" textRotation="0" wrapText="true" indent="0" shrinkToFit="false"/>
      <protection locked="true" hidden="false"/>
    </xf>
    <xf numFmtId="164" fontId="22" fillId="5" borderId="3" xfId="0" applyFont="true" applyBorder="true" applyAlignment="true" applyProtection="true">
      <alignment horizontal="right" vertical="center" textRotation="0" wrapText="true" indent="0" shrinkToFit="false"/>
      <protection locked="true" hidden="false"/>
    </xf>
    <xf numFmtId="166" fontId="6" fillId="3" borderId="2" xfId="0" applyFont="true" applyBorder="true" applyAlignment="true" applyProtection="true">
      <alignment horizontal="center" vertical="center" textRotation="0" wrapText="false" indent="0" shrinkToFit="false"/>
      <protection locked="false" hidden="false"/>
    </xf>
    <xf numFmtId="164" fontId="22" fillId="5" borderId="2" xfId="0" applyFont="true" applyBorder="true" applyAlignment="true" applyProtection="true">
      <alignment horizontal="center" vertical="center" textRotation="0" wrapText="true" indent="0" shrinkToFit="false"/>
      <protection locked="true" hidden="false"/>
    </xf>
    <xf numFmtId="164" fontId="23" fillId="5" borderId="2" xfId="0" applyFont="true" applyBorder="true" applyAlignment="true" applyProtection="true">
      <alignment horizontal="general" vertical="center" textRotation="0" wrapText="false" indent="0" shrinkToFit="false"/>
      <protection locked="true" hidden="false"/>
    </xf>
    <xf numFmtId="168" fontId="6" fillId="3" borderId="2" xfId="0" applyFont="true" applyBorder="true" applyAlignment="true" applyProtection="true">
      <alignment horizontal="center" vertical="center" textRotation="0" wrapText="false" indent="0" shrinkToFit="false"/>
      <protection locked="false" hidden="false"/>
    </xf>
    <xf numFmtId="168" fontId="6" fillId="3" borderId="2" xfId="15" applyFont="true" applyBorder="true" applyAlignment="true" applyProtection="true">
      <alignment horizontal="center" vertical="center" textRotation="0" wrapText="false" indent="0" shrinkToFit="false"/>
      <protection locked="false" hidden="false"/>
    </xf>
    <xf numFmtId="164" fontId="24" fillId="7" borderId="7" xfId="0" applyFont="true" applyBorder="true" applyAlignment="true" applyProtection="false">
      <alignment horizontal="center" vertical="bottom" textRotation="0" wrapText="false" indent="0" shrinkToFit="false"/>
      <protection locked="true" hidden="false"/>
    </xf>
    <xf numFmtId="164" fontId="23" fillId="5" borderId="2" xfId="0" applyFont="true" applyBorder="true" applyAlignment="true" applyProtection="true">
      <alignment horizontal="general" vertical="center" textRotation="0" wrapText="true" indent="0" shrinkToFit="false"/>
      <protection locked="true" hidden="false"/>
    </xf>
    <xf numFmtId="164" fontId="22" fillId="5" borderId="2" xfId="0" applyFont="true" applyBorder="true" applyAlignment="true" applyProtection="true">
      <alignment horizontal="left" vertical="center" textRotation="0" wrapText="true" indent="0" shrinkToFit="false"/>
      <protection locked="true" hidden="false"/>
    </xf>
    <xf numFmtId="169" fontId="6" fillId="6" borderId="2" xfId="0" applyFont="true" applyBorder="true" applyAlignment="true" applyProtection="true">
      <alignment horizontal="center" vertical="center" textRotation="0" wrapText="false" indent="0" shrinkToFit="false"/>
      <protection locked="true" hidden="false"/>
    </xf>
    <xf numFmtId="164" fontId="16" fillId="2" borderId="0" xfId="0" applyFont="true" applyBorder="true" applyAlignment="true" applyProtection="true">
      <alignment horizontal="left" vertical="center" textRotation="0" wrapText="tru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1" fillId="6" borderId="9" xfId="0" applyFont="true" applyBorder="true" applyAlignment="true" applyProtection="true">
      <alignment horizontal="justify" vertical="center" textRotation="0" wrapText="true" indent="0" shrinkToFit="false"/>
      <protection locked="true" hidden="false"/>
    </xf>
    <xf numFmtId="164" fontId="11" fillId="4" borderId="10" xfId="0" applyFont="true" applyBorder="true" applyAlignment="true" applyProtection="true">
      <alignment horizontal="justify" vertical="center" textRotation="0" wrapText="true" indent="0" shrinkToFit="false"/>
      <protection locked="true" hidden="false"/>
    </xf>
    <xf numFmtId="164" fontId="11" fillId="6" borderId="10" xfId="0" applyFont="true" applyBorder="true" applyAlignment="true" applyProtection="true">
      <alignment horizontal="justify" vertical="center" textRotation="0" wrapText="true" indent="0" shrinkToFit="false"/>
      <protection locked="true" hidden="false"/>
    </xf>
    <xf numFmtId="167" fontId="6" fillId="6" borderId="2" xfId="0" applyFont="true" applyBorder="true" applyAlignment="true" applyProtection="true">
      <alignment horizontal="right" vertical="center" textRotation="0" wrapText="true" indent="0" shrinkToFit="false"/>
      <protection locked="true" hidden="false"/>
    </xf>
    <xf numFmtId="167" fontId="6" fillId="4" borderId="2" xfId="0" applyFont="true" applyBorder="true" applyAlignment="true" applyProtection="true">
      <alignment horizontal="right" vertical="center" textRotation="0" wrapText="true" indent="0" shrinkToFit="false"/>
      <protection locked="true" hidden="false"/>
    </xf>
    <xf numFmtId="174" fontId="6" fillId="4" borderId="2" xfId="0" applyFont="true" applyBorder="true" applyAlignment="true" applyProtection="true">
      <alignment horizontal="right" vertical="center" textRotation="0" wrapText="true" indent="0" shrinkToFit="false"/>
      <protection locked="true" hidden="false"/>
    </xf>
    <xf numFmtId="171" fontId="6" fillId="4" borderId="2" xfId="0" applyFont="true" applyBorder="true" applyAlignment="true" applyProtection="true">
      <alignment horizontal="right" vertical="center" textRotation="0" wrapText="true" indent="0" shrinkToFit="false"/>
      <protection locked="true" hidden="false"/>
    </xf>
    <xf numFmtId="170" fontId="6" fillId="6" borderId="2" xfId="0" applyFont="true" applyBorder="true" applyAlignment="true" applyProtection="true">
      <alignment horizontal="right" vertical="center" textRotation="0" wrapText="true" indent="0" shrinkToFit="false"/>
      <protection locked="true" hidden="false"/>
    </xf>
    <xf numFmtId="164" fontId="6" fillId="4" borderId="2" xfId="0" applyFont="true" applyBorder="true" applyAlignment="true" applyProtection="true">
      <alignment horizontal="left" vertical="center" textRotation="0" wrapText="false" indent="0" shrinkToFit="false"/>
      <protection locked="true" hidden="false"/>
    </xf>
    <xf numFmtId="170" fontId="6" fillId="4" borderId="2" xfId="0" applyFont="true" applyBorder="true" applyAlignment="true" applyProtection="true">
      <alignment horizontal="right" vertical="center" textRotation="0" wrapText="true" indent="0" shrinkToFit="false"/>
      <protection locked="true" hidden="false"/>
    </xf>
    <xf numFmtId="171" fontId="6" fillId="6" borderId="2" xfId="0" applyFont="true" applyBorder="true" applyAlignment="true" applyProtection="true">
      <alignment horizontal="right" vertical="center" textRotation="0" wrapText="true" indent="0" shrinkToFit="false"/>
      <protection locked="true" hidden="false"/>
    </xf>
    <xf numFmtId="175" fontId="6" fillId="6" borderId="2" xfId="0" applyFont="true" applyBorder="true" applyAlignment="true" applyProtection="true">
      <alignment horizontal="center" vertical="center" textRotation="0" wrapText="true" indent="0" shrinkToFit="false"/>
      <protection locked="true" hidden="false"/>
    </xf>
    <xf numFmtId="164" fontId="6" fillId="2" borderId="0" xfId="0" applyFont="true" applyBorder="true" applyAlignment="false" applyProtection="true">
      <alignment horizontal="general" vertical="bottom" textRotation="0" wrapText="false" indent="0" shrinkToFit="false"/>
      <protection locked="true" hidden="false"/>
    </xf>
    <xf numFmtId="175" fontId="6" fillId="4" borderId="2" xfId="0" applyFont="true" applyBorder="true" applyAlignment="true" applyProtection="true">
      <alignment horizontal="center" vertical="center" textRotation="0" wrapText="false" indent="0" shrinkToFit="false"/>
      <protection locked="true" hidden="false"/>
    </xf>
    <xf numFmtId="164" fontId="13" fillId="2" borderId="11" xfId="0" applyFont="true" applyBorder="true" applyAlignment="true" applyProtection="true">
      <alignment horizontal="left" vertical="center" textRotation="0" wrapText="true" indent="0" shrinkToFit="false"/>
      <protection locked="true" hidden="false"/>
    </xf>
    <xf numFmtId="175" fontId="6" fillId="7" borderId="2" xfId="0" applyFont="true" applyBorder="true" applyAlignment="true" applyProtection="true">
      <alignment horizontal="center" vertical="center" textRotation="0" wrapText="true" indent="0" shrinkToFit="false"/>
      <protection locked="true" hidden="false"/>
    </xf>
    <xf numFmtId="175" fontId="6" fillId="7" borderId="2" xfId="0" applyFont="true" applyBorder="true" applyAlignment="true" applyProtection="true">
      <alignment horizontal="center" vertical="center" textRotation="0" wrapText="false" indent="0" shrinkToFit="false"/>
      <protection locked="true" hidden="false"/>
    </xf>
    <xf numFmtId="175" fontId="10" fillId="5" borderId="2" xfId="0" applyFont="true" applyBorder="true" applyAlignment="true" applyProtection="true">
      <alignment horizontal="center" vertical="center" textRotation="0" wrapText="false" indent="0" shrinkToFit="false"/>
      <protection locked="true" hidden="false"/>
    </xf>
    <xf numFmtId="164" fontId="6" fillId="6" borderId="2" xfId="0" applyFont="true" applyBorder="true" applyAlignment="true" applyProtection="true">
      <alignment horizontal="justify" vertical="center" textRotation="0" wrapText="false" indent="0" shrinkToFit="false"/>
      <protection locked="true" hidden="false"/>
    </xf>
    <xf numFmtId="164" fontId="6" fillId="4" borderId="2" xfId="0" applyFont="true" applyBorder="true" applyAlignment="true" applyProtection="true">
      <alignment horizontal="justify" vertical="center" textRotation="0" wrapText="false" indent="0" shrinkToFit="false"/>
      <protection locked="true" hidden="false"/>
    </xf>
    <xf numFmtId="175" fontId="6" fillId="4" borderId="2" xfId="0" applyFont="true" applyBorder="true" applyAlignment="true" applyProtection="true">
      <alignment horizontal="center" vertical="center" textRotation="0" wrapText="true" indent="0" shrinkToFit="false"/>
      <protection locked="true" hidden="false"/>
    </xf>
    <xf numFmtId="164" fontId="6" fillId="2" borderId="0" xfId="0" applyFont="true" applyBorder="false" applyAlignment="true" applyProtection="true">
      <alignment horizontal="general" vertical="center" textRotation="0" wrapText="true" indent="0" shrinkToFit="false"/>
      <protection locked="true" hidden="false"/>
    </xf>
    <xf numFmtId="169" fontId="7" fillId="6" borderId="2" xfId="0" applyFont="true" applyBorder="true" applyAlignment="true" applyProtection="true">
      <alignment horizontal="left" vertical="bottom" textRotation="0" wrapText="false" indent="0" shrinkToFit="false"/>
      <protection locked="true" hidden="false"/>
    </xf>
    <xf numFmtId="169" fontId="7" fillId="4" borderId="2" xfId="0" applyFont="true" applyBorder="true" applyAlignment="true" applyProtection="true">
      <alignment horizontal="left" vertical="bottom" textRotation="0" wrapText="false" indent="0" shrinkToFit="false"/>
      <protection locked="true" hidden="false"/>
    </xf>
    <xf numFmtId="165" fontId="7" fillId="4" borderId="3" xfId="0" applyFont="true" applyBorder="true" applyAlignment="true" applyProtection="true">
      <alignment horizontal="right" vertical="bottom" textRotation="0" wrapText="false" indent="0" shrinkToFit="false"/>
      <protection locked="true" hidden="false"/>
    </xf>
    <xf numFmtId="165" fontId="7" fillId="4" borderId="3" xfId="0" applyFont="true" applyBorder="true" applyAlignment="true" applyProtection="true">
      <alignment horizontal="general" vertical="bottom" textRotation="0" wrapText="false" indent="0" shrinkToFit="false"/>
      <protection locked="true" hidden="false"/>
    </xf>
    <xf numFmtId="169" fontId="6" fillId="6" borderId="2" xfId="0" applyFont="true" applyBorder="true" applyAlignment="true" applyProtection="true">
      <alignment horizontal="center" vertical="bottom" textRotation="0" wrapText="false" indent="0" shrinkToFit="false"/>
      <protection locked="true" hidden="false"/>
    </xf>
    <xf numFmtId="169" fontId="6" fillId="4" borderId="2" xfId="0" applyFont="true" applyBorder="true" applyAlignment="true" applyProtection="true">
      <alignment horizontal="right" vertical="bottom" textRotation="0" wrapText="false" indent="0" shrinkToFit="false"/>
      <protection locked="true" hidden="false"/>
    </xf>
    <xf numFmtId="175" fontId="6" fillId="4" borderId="2" xfId="0" applyFont="true" applyBorder="true" applyAlignment="true" applyProtection="true">
      <alignment horizontal="center" vertical="bottom" textRotation="0" wrapText="false" indent="0" shrinkToFit="false"/>
      <protection locked="true" hidden="false"/>
    </xf>
    <xf numFmtId="164" fontId="25" fillId="0" borderId="0" xfId="0" applyFont="true" applyBorder="true" applyAlignment="true" applyProtection="true">
      <alignment horizontal="center" vertical="bottom" textRotation="0" wrapText="false" indent="0" shrinkToFit="false"/>
      <protection locked="true" hidden="false"/>
    </xf>
    <xf numFmtId="165" fontId="6" fillId="6" borderId="2" xfId="0" applyFont="true" applyBorder="true" applyAlignment="true" applyProtection="true">
      <alignment horizontal="center" vertical="bottom" textRotation="0" wrapText="false" indent="0" shrinkToFit="false"/>
      <protection locked="true" hidden="false"/>
    </xf>
    <xf numFmtId="175" fontId="6" fillId="6" borderId="2" xfId="0" applyFont="true" applyBorder="true" applyAlignment="true" applyProtection="true">
      <alignment horizontal="center" vertical="bottom" textRotation="0" wrapText="false" indent="0" shrinkToFit="false"/>
      <protection locked="true" hidden="false"/>
    </xf>
    <xf numFmtId="164" fontId="6" fillId="6" borderId="2" xfId="0" applyFont="true" applyBorder="true" applyAlignment="true" applyProtection="true">
      <alignment horizontal="left" vertical="center" textRotation="0" wrapText="false" indent="0" shrinkToFit="false"/>
      <protection locked="true" hidden="false"/>
    </xf>
    <xf numFmtId="164" fontId="8" fillId="2" borderId="0" xfId="0" applyFont="true" applyBorder="false" applyAlignment="true" applyProtection="true">
      <alignment horizontal="general" vertical="top"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9" fontId="6" fillId="4" borderId="2" xfId="0" applyFont="true" applyBorder="true" applyAlignment="true" applyProtection="true">
      <alignment horizontal="center" vertical="bottom" textRotation="0" wrapText="false" indent="0" shrinkToFit="false"/>
      <protection locked="true" hidden="false"/>
    </xf>
    <xf numFmtId="164" fontId="6" fillId="6" borderId="2" xfId="0" applyFont="true" applyBorder="true" applyAlignment="true" applyProtection="true">
      <alignment horizontal="general" vertical="bottom" textRotation="0" wrapText="false" indent="0" shrinkToFit="false"/>
      <protection locked="true" hidden="false"/>
    </xf>
    <xf numFmtId="164" fontId="6" fillId="4" borderId="9" xfId="0" applyFont="true" applyBorder="true" applyAlignment="true" applyProtection="true">
      <alignment horizontal="left" vertical="bottom" textRotation="0" wrapText="false" indent="0" shrinkToFit="false"/>
      <protection locked="true" hidden="false"/>
    </xf>
    <xf numFmtId="165" fontId="6" fillId="4" borderId="9"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false" applyAlignment="false" applyProtection="true">
      <alignment horizontal="general" vertical="bottom" textRotation="0" wrapText="false" indent="0" shrinkToFit="false"/>
      <protection locked="true" hidden="false"/>
    </xf>
    <xf numFmtId="164" fontId="26" fillId="2" borderId="0"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right" vertical="center" textRotation="0" wrapText="true" indent="0" shrinkToFit="false"/>
      <protection locked="true" hidden="false"/>
    </xf>
    <xf numFmtId="168" fontId="6" fillId="4" borderId="2" xfId="0" applyFont="true" applyBorder="true" applyAlignment="true" applyProtection="true">
      <alignment horizontal="right" vertical="center" textRotation="0" wrapText="true" indent="0" shrinkToFit="false"/>
      <protection locked="true" hidden="false"/>
    </xf>
    <xf numFmtId="168" fontId="10" fillId="5" borderId="2" xfId="0" applyFont="true" applyBorder="true" applyAlignment="true" applyProtection="true">
      <alignment horizontal="right" vertical="center" textRotation="0" wrapText="true" indent="0" shrinkToFit="false"/>
      <protection locked="true" hidden="false"/>
    </xf>
    <xf numFmtId="164" fontId="13" fillId="2" borderId="0" xfId="0" applyFont="true" applyBorder="true" applyAlignment="true" applyProtection="true">
      <alignment horizontal="justify" vertical="center" textRotation="0" wrapText="true" indent="0" shrinkToFit="false"/>
      <protection locked="true" hidden="false"/>
    </xf>
    <xf numFmtId="168" fontId="10" fillId="5" borderId="2" xfId="0" applyFont="true" applyBorder="true" applyAlignment="true" applyProtection="true">
      <alignment horizontal="right" vertical="center" textRotation="0" wrapText="false" indent="0" shrinkToFit="false"/>
      <protection locked="true" hidden="false"/>
    </xf>
    <xf numFmtId="168" fontId="6" fillId="4" borderId="2" xfId="0" applyFont="true" applyBorder="true" applyAlignment="true" applyProtection="true">
      <alignment horizontal="left" vertical="center" textRotation="0" wrapText="true" indent="0" shrinkToFit="false"/>
      <protection locked="true" hidden="false"/>
    </xf>
    <xf numFmtId="176" fontId="6" fillId="4" borderId="2" xfId="0" applyFont="true" applyBorder="true" applyAlignment="true" applyProtection="true">
      <alignment horizontal="center" vertical="center" textRotation="0" wrapText="true" indent="0" shrinkToFit="false"/>
      <protection locked="true" hidden="false"/>
    </xf>
    <xf numFmtId="164" fontId="10" fillId="5" borderId="8" xfId="0" applyFont="true" applyBorder="true" applyAlignment="true" applyProtection="true">
      <alignment horizontal="left" vertical="center" textRotation="0" wrapText="true" indent="0" shrinkToFit="false"/>
      <protection locked="true" hidden="false"/>
    </xf>
    <xf numFmtId="164" fontId="10" fillId="5" borderId="8" xfId="0" applyFont="true" applyBorder="true" applyAlignment="true" applyProtection="true">
      <alignment horizontal="center" vertical="center" textRotation="0" wrapText="true" indent="0" shrinkToFit="false"/>
      <protection locked="true" hidden="false"/>
    </xf>
    <xf numFmtId="164" fontId="10" fillId="5" borderId="8" xfId="0" applyFont="true" applyBorder="true" applyAlignment="true" applyProtection="true">
      <alignment horizontal="center" vertical="bottom" textRotation="0" wrapText="false" indent="0" shrinkToFit="false"/>
      <protection locked="true" hidden="false"/>
    </xf>
    <xf numFmtId="164" fontId="6" fillId="6" borderId="8" xfId="0" applyFont="true" applyBorder="true" applyAlignment="true" applyProtection="true">
      <alignment horizontal="left" vertical="center" textRotation="0" wrapText="true" indent="0" shrinkToFit="false"/>
      <protection locked="true" hidden="false"/>
    </xf>
    <xf numFmtId="170" fontId="6" fillId="6" borderId="8" xfId="0" applyFont="true" applyBorder="true" applyAlignment="true" applyProtection="true">
      <alignment horizontal="right" vertical="center" textRotation="0" wrapText="true" indent="0" shrinkToFit="false"/>
      <protection locked="true" hidden="false"/>
    </xf>
    <xf numFmtId="164" fontId="6" fillId="4" borderId="8" xfId="0" applyFont="true" applyBorder="true" applyAlignment="true" applyProtection="true">
      <alignment horizontal="left" vertical="center" textRotation="0" wrapText="true" indent="0" shrinkToFit="false"/>
      <protection locked="true" hidden="false"/>
    </xf>
    <xf numFmtId="170" fontId="6" fillId="4" borderId="8" xfId="0" applyFont="true" applyBorder="true" applyAlignment="true" applyProtection="true">
      <alignment horizontal="right" vertical="center" textRotation="0" wrapText="true" indent="0" shrinkToFit="false"/>
      <protection locked="true" hidden="false"/>
    </xf>
    <xf numFmtId="168" fontId="6" fillId="4" borderId="8" xfId="0" applyFont="true" applyBorder="true" applyAlignment="true" applyProtection="true">
      <alignment horizontal="left" vertical="center" textRotation="0" wrapText="true" indent="0" shrinkToFit="false"/>
      <protection locked="true" hidden="false"/>
    </xf>
    <xf numFmtId="168" fontId="10" fillId="5" borderId="8" xfId="0" applyFont="true" applyBorder="true" applyAlignment="true" applyProtection="true">
      <alignment horizontal="right" vertical="center" textRotation="0" wrapText="true" indent="0" shrinkToFit="false"/>
      <protection locked="true" hidden="false"/>
    </xf>
    <xf numFmtId="170" fontId="6" fillId="6" borderId="2" xfId="0" applyFont="true" applyBorder="true" applyAlignment="true" applyProtection="true">
      <alignment horizontal="center" vertical="center" textRotation="0" wrapText="true" indent="0" shrinkToFit="false"/>
      <protection locked="true" hidden="false"/>
    </xf>
    <xf numFmtId="170" fontId="6" fillId="4" borderId="2" xfId="0" applyFont="true" applyBorder="true" applyAlignment="true" applyProtection="true">
      <alignment horizontal="center" vertical="center" textRotation="0" wrapText="true" indent="0" shrinkToFit="false"/>
      <protection locked="true" hidden="false"/>
    </xf>
    <xf numFmtId="164" fontId="27" fillId="4" borderId="2" xfId="0" applyFont="true" applyBorder="true" applyAlignment="true" applyProtection="true">
      <alignment horizontal="left" vertical="center" textRotation="0" wrapText="true" indent="1" shrinkToFit="false"/>
      <protection locked="true" hidden="false"/>
    </xf>
    <xf numFmtId="170" fontId="27" fillId="4" borderId="2" xfId="0" applyFont="true" applyBorder="true" applyAlignment="true" applyProtection="true">
      <alignment horizontal="center" vertical="center" textRotation="0" wrapText="true" indent="0" shrinkToFit="false"/>
      <protection locked="true" hidden="false"/>
    </xf>
    <xf numFmtId="170" fontId="27" fillId="4" borderId="2" xfId="0" applyFont="true" applyBorder="true" applyAlignment="true" applyProtection="true">
      <alignment horizontal="right" vertical="center" textRotation="0" wrapText="true" indent="0" shrinkToFit="false"/>
      <protection locked="true" hidden="false"/>
    </xf>
    <xf numFmtId="164" fontId="27" fillId="6" borderId="2" xfId="0" applyFont="true" applyBorder="true" applyAlignment="true" applyProtection="true">
      <alignment horizontal="left" vertical="center" textRotation="0" wrapText="true" indent="1" shrinkToFit="false"/>
      <protection locked="true" hidden="false"/>
    </xf>
    <xf numFmtId="170" fontId="27" fillId="6" borderId="2" xfId="0" applyFont="true" applyBorder="true" applyAlignment="true" applyProtection="true">
      <alignment horizontal="center" vertical="center" textRotation="0" wrapText="true" indent="0" shrinkToFit="false"/>
      <protection locked="true" hidden="false"/>
    </xf>
    <xf numFmtId="170" fontId="27" fillId="6" borderId="2" xfId="0" applyFont="true" applyBorder="true" applyAlignment="true" applyProtection="true">
      <alignment horizontal="right" vertical="center" textRotation="0" wrapText="true" indent="0" shrinkToFit="false"/>
      <protection locked="true" hidden="false"/>
    </xf>
    <xf numFmtId="170" fontId="10" fillId="5" borderId="2" xfId="0" applyFont="true" applyBorder="true" applyAlignment="true" applyProtection="true">
      <alignment horizontal="right" vertical="center" textRotation="0" wrapText="true" indent="0" shrinkToFit="false"/>
      <protection locked="true" hidden="false"/>
    </xf>
    <xf numFmtId="164" fontId="28" fillId="2" borderId="0" xfId="0" applyFont="true" applyBorder="true" applyAlignment="true" applyProtection="true">
      <alignment horizontal="left" vertical="center" textRotation="0" wrapText="false" indent="0" shrinkToFit="false"/>
      <protection locked="true" hidden="false"/>
    </xf>
    <xf numFmtId="164" fontId="6" fillId="2" borderId="0" xfId="0" applyFont="true" applyBorder="true" applyAlignment="true" applyProtection="true">
      <alignment horizontal="left" vertical="center" textRotation="0" wrapText="true" indent="0" shrinkToFit="false"/>
      <protection locked="true" hidden="false"/>
    </xf>
    <xf numFmtId="170" fontId="6" fillId="2" borderId="0" xfId="0" applyFont="true" applyBorder="true" applyAlignment="true" applyProtection="true">
      <alignment horizontal="center" vertical="center" textRotation="0" wrapText="true" indent="0" shrinkToFit="false"/>
      <protection locked="true" hidden="false"/>
    </xf>
    <xf numFmtId="175" fontId="14" fillId="2" borderId="0" xfId="0" applyFont="true" applyBorder="false" applyAlignment="true" applyProtection="true">
      <alignment horizontal="general" vertical="bottom" textRotation="0" wrapText="tru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5" fontId="6" fillId="4" borderId="2" xfId="0" applyFont="true" applyBorder="true" applyAlignment="true" applyProtection="true">
      <alignment horizontal="center" vertical="bottom" textRotation="0" wrapText="false" indent="0" shrinkToFit="false"/>
      <protection locked="true" hidden="false"/>
    </xf>
    <xf numFmtId="170" fontId="8" fillId="2" borderId="0" xfId="0" applyFont="true" applyBorder="false" applyAlignment="true" applyProtection="true">
      <alignment horizontal="general" vertical="center" textRotation="0" wrapText="false" indent="0" shrinkToFit="false"/>
      <protection locked="true" hidden="false"/>
    </xf>
    <xf numFmtId="164" fontId="20" fillId="2" borderId="0" xfId="0" applyFont="true" applyBorder="false" applyAlignment="true" applyProtection="true">
      <alignment horizontal="general" vertical="center" textRotation="0" wrapText="false" indent="0" shrinkToFit="false"/>
      <protection locked="true" hidden="false"/>
    </xf>
    <xf numFmtId="164" fontId="24" fillId="2" borderId="0" xfId="0" applyFont="true" applyBorder="false" applyAlignment="true" applyProtection="true">
      <alignment horizontal="general" vertical="center"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4" fontId="14" fillId="2" borderId="0" xfId="0" applyFont="true" applyBorder="false" applyAlignment="true" applyProtection="true">
      <alignment horizontal="general" vertical="center" textRotation="0" wrapText="true" indent="0" shrinkToFit="false"/>
      <protection locked="true" hidden="false"/>
    </xf>
    <xf numFmtId="164" fontId="14" fillId="2" borderId="0" xfId="0" applyFont="true" applyBorder="fals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9" fontId="7" fillId="6" borderId="2" xfId="0" applyFont="true" applyBorder="true" applyAlignment="true" applyProtection="true">
      <alignment horizontal="left" vertical="center" textRotation="0" wrapText="false" indent="0" shrinkToFit="false"/>
      <protection locked="true" hidden="false"/>
    </xf>
    <xf numFmtId="169" fontId="7" fillId="4" borderId="2" xfId="0" applyFont="true" applyBorder="true" applyAlignment="true" applyProtection="true">
      <alignment horizontal="left" vertical="center" textRotation="0" wrapText="false" indent="0" shrinkToFit="false"/>
      <protection locked="true" hidden="false"/>
    </xf>
    <xf numFmtId="164" fontId="29" fillId="2" borderId="0" xfId="0" applyFont="true" applyBorder="true" applyAlignment="true" applyProtection="true">
      <alignment horizontal="center" vertical="center" textRotation="0" wrapText="false" indent="0" shrinkToFit="false"/>
      <protection locked="true" hidden="false"/>
    </xf>
    <xf numFmtId="164" fontId="30" fillId="2" borderId="0" xfId="0" applyFont="true" applyBorder="true" applyAlignment="true" applyProtection="true">
      <alignment horizontal="center" vertical="center" textRotation="0" wrapText="false" indent="0" shrinkToFit="false"/>
      <protection locked="true" hidden="false"/>
    </xf>
    <xf numFmtId="164" fontId="31" fillId="2" borderId="0" xfId="0" applyFont="true" applyBorder="false" applyAlignment="true" applyProtection="true">
      <alignment horizontal="general" vertical="center" textRotation="0" wrapText="false" indent="0" shrinkToFit="false"/>
      <protection locked="true" hidden="false"/>
    </xf>
    <xf numFmtId="164" fontId="30" fillId="2" borderId="0" xfId="0" applyFont="true" applyBorder="false" applyAlignment="true" applyProtection="true">
      <alignment horizontal="center" vertical="center" textRotation="0" wrapText="false" indent="0" shrinkToFit="false"/>
      <protection locked="true" hidden="false"/>
    </xf>
    <xf numFmtId="164" fontId="30" fillId="2" borderId="0" xfId="0" applyFont="true" applyBorder="false" applyAlignment="true" applyProtection="true">
      <alignment horizontal="center" vertical="center" textRotation="0" wrapText="true" indent="0" shrinkToFit="false"/>
      <protection locked="true" hidden="false"/>
    </xf>
    <xf numFmtId="164" fontId="32" fillId="2" borderId="0" xfId="0" applyFont="true" applyBorder="true" applyAlignment="true" applyProtection="true">
      <alignment horizontal="justify" vertical="center" textRotation="0" wrapText="true" indent="0" shrinkToFit="false"/>
      <protection locked="true" hidden="false"/>
    </xf>
    <xf numFmtId="164" fontId="24" fillId="2" borderId="0" xfId="0" applyFont="true" applyBorder="true" applyAlignment="true" applyProtection="true">
      <alignment horizontal="general" vertical="center" textRotation="0" wrapText="false" indent="0" shrinkToFit="false"/>
      <protection locked="true" hidden="false"/>
    </xf>
    <xf numFmtId="164" fontId="8" fillId="2" borderId="0"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77" fontId="6" fillId="6" borderId="2"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general" vertical="center" textRotation="0" wrapText="false" indent="0" shrinkToFit="false"/>
      <protection locked="true" hidden="false"/>
    </xf>
    <xf numFmtId="175" fontId="6" fillId="6" borderId="2" xfId="0" applyFont="true" applyBorder="true" applyAlignment="true" applyProtection="true">
      <alignment horizontal="general" vertical="center" textRotation="0" wrapText="false" indent="0" shrinkToFit="false"/>
      <protection locked="true" hidden="false"/>
    </xf>
    <xf numFmtId="164" fontId="10" fillId="3" borderId="2" xfId="0" applyFont="true" applyBorder="true" applyAlignment="true" applyProtection="true">
      <alignment horizontal="general" vertical="center" textRotation="0" wrapText="false" indent="0" shrinkToFit="false"/>
      <protection locked="true" hidden="false"/>
    </xf>
    <xf numFmtId="175" fontId="11" fillId="3" borderId="2"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true" indent="0" shrinkToFit="false"/>
      <protection locked="true" hidden="false"/>
    </xf>
    <xf numFmtId="164" fontId="11" fillId="2" borderId="0" xfId="0" applyFont="true" applyBorder="true" applyAlignment="true" applyProtection="true">
      <alignment horizontal="general" vertical="center" textRotation="0" wrapText="false" indent="0" shrinkToFit="false"/>
      <protection locked="true" hidden="false"/>
    </xf>
    <xf numFmtId="175" fontId="11" fillId="2" borderId="0" xfId="0" applyFont="true" applyBorder="true" applyAlignment="true" applyProtection="true">
      <alignment horizontal="right" vertical="center" textRotation="0" wrapText="false" indent="0" shrinkToFit="false"/>
      <protection locked="true" hidden="false"/>
    </xf>
    <xf numFmtId="164" fontId="33" fillId="2" borderId="0" xfId="0" applyFont="true" applyBorder="false" applyAlignment="true" applyProtection="true">
      <alignment horizontal="general" vertical="center" textRotation="0" wrapText="false" indent="0" shrinkToFit="false"/>
      <protection locked="true" hidden="false"/>
    </xf>
    <xf numFmtId="177" fontId="6" fillId="2" borderId="0" xfId="0" applyFont="true" applyBorder="true" applyAlignment="true" applyProtection="true">
      <alignment horizontal="general" vertical="center" textRotation="0" wrapText="false" indent="0" shrinkToFit="false"/>
      <protection locked="true" hidden="false"/>
    </xf>
    <xf numFmtId="175" fontId="11" fillId="2" borderId="0" xfId="0" applyFont="true" applyBorder="true" applyAlignment="true" applyProtection="true">
      <alignment horizontal="general" vertical="center" textRotation="0" wrapText="false" indent="0" shrinkToFit="false"/>
      <protection locked="true" hidden="false"/>
    </xf>
    <xf numFmtId="167" fontId="6" fillId="6" borderId="2" xfId="0" applyFont="true" applyBorder="true" applyAlignment="true" applyProtection="true">
      <alignment horizontal="center" vertical="center" textRotation="0" wrapText="false" indent="0" shrinkToFit="false"/>
      <protection locked="true" hidden="false"/>
    </xf>
    <xf numFmtId="178" fontId="6" fillId="6" borderId="2" xfId="0" applyFont="true" applyBorder="true" applyAlignment="true" applyProtection="true">
      <alignment horizontal="center" vertical="center" textRotation="0" wrapText="false" indent="0" shrinkToFit="false"/>
      <protection locked="true" hidden="false"/>
    </xf>
    <xf numFmtId="179" fontId="24" fillId="2" borderId="0" xfId="0" applyFont="true" applyBorder="false" applyAlignment="true" applyProtection="true">
      <alignment horizontal="general" vertical="center" textRotation="0" wrapText="false" indent="0" shrinkToFit="false"/>
      <protection locked="true" hidden="false"/>
    </xf>
    <xf numFmtId="164" fontId="10" fillId="3" borderId="2" xfId="0" applyFont="true" applyBorder="true" applyAlignment="true" applyProtection="true">
      <alignment horizontal="left" vertical="center" textRotation="0" wrapText="false" indent="0" shrinkToFit="false"/>
      <protection locked="true" hidden="false"/>
    </xf>
    <xf numFmtId="175" fontId="10" fillId="3" borderId="2" xfId="0" applyFont="true" applyBorder="true" applyAlignment="true" applyProtection="true">
      <alignment horizontal="right" vertical="center" textRotation="0" wrapText="false" indent="0" shrinkToFit="false"/>
      <protection locked="true" hidden="false"/>
    </xf>
    <xf numFmtId="164" fontId="29" fillId="2" borderId="0" xfId="0" applyFont="true" applyBorder="true" applyAlignment="true" applyProtection="true">
      <alignment horizontal="left" vertical="center" textRotation="0" wrapText="true" indent="0" shrinkToFit="false"/>
      <protection locked="true" hidden="false"/>
    </xf>
    <xf numFmtId="164" fontId="32" fillId="2" borderId="0" xfId="0" applyFont="true" applyBorder="true" applyAlignment="true" applyProtection="true">
      <alignment horizontal="general" vertical="center" textRotation="0" wrapText="true" indent="0" shrinkToFit="false"/>
      <protection locked="true" hidden="false"/>
    </xf>
    <xf numFmtId="164" fontId="34" fillId="2" borderId="0" xfId="0" applyFont="true" applyBorder="false" applyAlignment="true" applyProtection="true">
      <alignment horizontal="general" vertical="center" textRotation="0" wrapText="false" indent="0" shrinkToFit="false"/>
      <protection locked="true" hidden="false"/>
    </xf>
    <xf numFmtId="164" fontId="35" fillId="2" borderId="0" xfId="0" applyFont="true" applyBorder="true" applyAlignment="true" applyProtection="true">
      <alignment horizontal="center" vertical="center" textRotation="0" wrapText="true" indent="0" shrinkToFit="false"/>
      <protection locked="true" hidden="false"/>
    </xf>
    <xf numFmtId="164" fontId="11" fillId="2" borderId="0" xfId="0" applyFont="true" applyBorder="true" applyAlignment="true" applyProtection="true">
      <alignment horizontal="general" vertical="center" textRotation="0" wrapText="true" indent="0" shrinkToFit="false"/>
      <protection locked="true" hidden="false"/>
    </xf>
    <xf numFmtId="172" fontId="24" fillId="2" borderId="0" xfId="0" applyFont="true" applyBorder="false" applyAlignment="true" applyProtection="true">
      <alignment horizontal="general" vertical="center" textRotation="0" wrapText="false" indent="0" shrinkToFit="false"/>
      <protection locked="true" hidden="false"/>
    </xf>
    <xf numFmtId="168" fontId="6" fillId="6" borderId="2" xfId="0" applyFont="true" applyBorder="true" applyAlignment="true" applyProtection="true">
      <alignment horizontal="center" vertical="center" textRotation="0" wrapText="false" indent="0" shrinkToFit="false"/>
      <protection locked="true" hidden="false"/>
    </xf>
    <xf numFmtId="175" fontId="6" fillId="6" borderId="2"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right" vertical="center" textRotation="0" wrapText="false" indent="0" shrinkToFit="false"/>
      <protection locked="true" hidden="false"/>
    </xf>
    <xf numFmtId="164" fontId="10" fillId="5" borderId="12" xfId="0" applyFont="true" applyBorder="true" applyAlignment="true" applyProtection="true">
      <alignment horizontal="left" vertical="center" textRotation="0" wrapText="false" indent="0" shrinkToFit="false"/>
      <protection locked="true" hidden="false"/>
    </xf>
    <xf numFmtId="168" fontId="10" fillId="5" borderId="2" xfId="15" applyFont="true" applyBorder="true" applyAlignment="true" applyProtection="true">
      <alignment horizontal="general" vertical="center" textRotation="0" wrapText="false" indent="0" shrinkToFit="false"/>
      <protection locked="true" hidden="false"/>
    </xf>
    <xf numFmtId="164" fontId="33" fillId="2" borderId="0" xfId="0" applyFont="true" applyBorder="false" applyAlignment="true" applyProtection="true">
      <alignment horizontal="general" vertical="center" textRotation="0" wrapText="true" indent="0" shrinkToFit="false"/>
      <protection locked="true" hidden="false"/>
    </xf>
    <xf numFmtId="172" fontId="6" fillId="2" borderId="0" xfId="0" applyFont="true" applyBorder="false" applyAlignment="true" applyProtection="true">
      <alignment horizontal="general" vertical="center" textRotation="0" wrapText="fals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24" fillId="2" borderId="0" xfId="0" applyFont="true" applyBorder="false" applyAlignment="true" applyProtection="true">
      <alignment horizontal="general" vertical="bottom"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36" fillId="5" borderId="2" xfId="0" applyFont="true" applyBorder="true" applyAlignment="true" applyProtection="true">
      <alignment horizontal="center" vertical="center" textRotation="0" wrapText="true" indent="0" shrinkToFit="false"/>
      <protection locked="true" hidden="false"/>
    </xf>
    <xf numFmtId="164" fontId="6" fillId="2" borderId="0" xfId="0" applyFont="true" applyBorder="false" applyAlignment="true" applyProtection="true">
      <alignment horizontal="center" vertical="bottom" textRotation="0" wrapText="false" indent="0" shrinkToFit="false"/>
      <protection locked="true" hidden="false"/>
    </xf>
    <xf numFmtId="164" fontId="37" fillId="5" borderId="2" xfId="0" applyFont="true" applyBorder="true" applyAlignment="true" applyProtection="true">
      <alignment horizontal="center" vertical="center" textRotation="0" wrapText="true" indent="0" shrinkToFit="false"/>
      <protection locked="true" hidden="false"/>
    </xf>
    <xf numFmtId="164" fontId="37" fillId="5" borderId="2" xfId="0" applyFont="true" applyBorder="true" applyAlignment="true" applyProtection="true">
      <alignment horizontal="left" vertical="center" textRotation="0" wrapText="true" indent="0" shrinkToFit="false"/>
      <protection locked="true" hidden="false"/>
    </xf>
    <xf numFmtId="174" fontId="38" fillId="3" borderId="2" xfId="0" applyFont="true" applyBorder="true" applyAlignment="true" applyProtection="true">
      <alignment horizontal="center" vertical="center" textRotation="0" wrapText="true" indent="0" shrinkToFit="false"/>
      <protection locked="false" hidden="false"/>
    </xf>
    <xf numFmtId="174" fontId="38" fillId="3" borderId="2" xfId="15" applyFont="true" applyBorder="true" applyAlignment="true" applyProtection="true">
      <alignment horizontal="center" vertical="center" textRotation="0" wrapText="true" indent="0" shrinkToFit="false"/>
      <protection locked="false" hidden="false"/>
    </xf>
    <xf numFmtId="175" fontId="38" fillId="7" borderId="7" xfId="0" applyFont="true" applyBorder="true" applyAlignment="true" applyProtection="false">
      <alignment horizontal="general" vertical="bottom" textRotation="0" wrapText="true" indent="0" shrinkToFit="false"/>
      <protection locked="true" hidden="false"/>
    </xf>
    <xf numFmtId="172" fontId="36" fillId="5" borderId="2" xfId="0" applyFont="true" applyBorder="true" applyAlignment="true" applyProtection="true">
      <alignment horizontal="center" vertical="center" textRotation="0" wrapText="true" indent="0" shrinkToFit="false"/>
      <protection locked="true" hidden="false"/>
    </xf>
    <xf numFmtId="164" fontId="36" fillId="5" borderId="2" xfId="0" applyFont="true" applyBorder="true" applyAlignment="true" applyProtection="true">
      <alignment horizontal="right" vertical="center" textRotation="0" wrapText="true" indent="0" shrinkToFit="false"/>
      <protection locked="true" hidden="false"/>
    </xf>
    <xf numFmtId="164" fontId="12" fillId="2" borderId="0" xfId="0" applyFont="true" applyBorder="true" applyAlignment="true" applyProtection="true">
      <alignment horizontal="left" vertical="center" textRotation="0" wrapText="true" indent="0" shrinkToFit="false"/>
      <protection locked="true" hidden="false"/>
    </xf>
    <xf numFmtId="164" fontId="12" fillId="2" borderId="0" xfId="0" applyFont="true" applyBorder="true" applyAlignment="true" applyProtection="true">
      <alignment horizontal="center" vertical="center" textRotation="0" wrapText="false" indent="0" shrinkToFit="false"/>
      <protection locked="true" hidden="false"/>
    </xf>
    <xf numFmtId="168" fontId="24" fillId="2" borderId="0" xfId="0" applyFont="true" applyBorder="false" applyAlignment="false" applyProtection="true">
      <alignment horizontal="general"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true" hidden="false"/>
    </xf>
    <xf numFmtId="174" fontId="36" fillId="5" borderId="2" xfId="0" applyFont="true" applyBorder="true" applyAlignment="true" applyProtection="true">
      <alignment horizontal="center" vertical="center" textRotation="0" wrapText="true" indent="0" shrinkToFit="false"/>
      <protection locked="true" hidden="false"/>
    </xf>
    <xf numFmtId="172" fontId="38" fillId="7" borderId="7" xfId="0" applyFont="true" applyBorder="true" applyAlignment="true" applyProtection="false">
      <alignment horizontal="general" vertical="bottom" textRotation="0" wrapText="true" indent="0" shrinkToFit="false"/>
      <protection locked="true" hidden="false"/>
    </xf>
    <xf numFmtId="172" fontId="12" fillId="2" borderId="0" xfId="0" applyFont="true" applyBorder="true" applyAlignment="true" applyProtection="true">
      <alignment horizontal="center" vertical="center" textRotation="0" wrapText="false" indent="0" shrinkToFit="false"/>
      <protection locked="true" hidden="false"/>
    </xf>
    <xf numFmtId="164" fontId="12" fillId="2" borderId="0" xfId="0" applyFont="true" applyBorder="true" applyAlignment="true" applyProtection="true">
      <alignment horizontal="left" vertical="center" textRotation="0" wrapText="false" indent="0" shrinkToFit="false"/>
      <protection locked="true" hidden="false"/>
    </xf>
    <xf numFmtId="181" fontId="40" fillId="8" borderId="2" xfId="17" applyFont="true" applyBorder="true" applyAlignment="true" applyProtection="true">
      <alignment horizontal="center" vertical="center" textRotation="0" wrapText="true" indent="0" shrinkToFit="false"/>
      <protection locked="true" hidden="false"/>
    </xf>
    <xf numFmtId="181" fontId="40" fillId="5" borderId="2" xfId="0" applyFont="true" applyBorder="true" applyAlignment="true" applyProtection="true">
      <alignment horizontal="center" vertical="center" textRotation="0" wrapText="true" indent="0" shrinkToFit="false"/>
      <protection locked="true" hidden="false"/>
    </xf>
    <xf numFmtId="164" fontId="28" fillId="2" borderId="13" xfId="0" applyFont="true" applyBorder="true" applyAlignment="true" applyProtection="true">
      <alignment horizontal="center" vertical="center" textRotation="0" wrapText="false" indent="0" shrinkToFit="false"/>
      <protection locked="true" hidden="false"/>
    </xf>
    <xf numFmtId="167" fontId="6" fillId="9" borderId="2" xfId="0" applyFont="true" applyBorder="true" applyAlignment="true" applyProtection="true">
      <alignment horizontal="left" vertical="center" textRotation="0" wrapText="true" indent="0" shrinkToFit="false"/>
      <protection locked="true" hidden="false"/>
    </xf>
    <xf numFmtId="167" fontId="6" fillId="9" borderId="2" xfId="0" applyFont="true" applyBorder="true" applyAlignment="true" applyProtection="true">
      <alignment horizontal="center" vertical="center" textRotation="0" wrapText="true" indent="0" shrinkToFit="false"/>
      <protection locked="true" hidden="false"/>
    </xf>
    <xf numFmtId="168" fontId="6" fillId="9" borderId="2" xfId="0" applyFont="true" applyBorder="true" applyAlignment="true" applyProtection="true">
      <alignment horizontal="general" vertical="center" textRotation="0" wrapText="true" indent="0" shrinkToFit="false"/>
      <protection locked="true" hidden="false"/>
    </xf>
    <xf numFmtId="168" fontId="10" fillId="5" borderId="2" xfId="0" applyFont="true" applyBorder="true" applyAlignment="true" applyProtection="true">
      <alignment horizontal="general" vertical="center" textRotation="0" wrapText="true" indent="0" shrinkToFit="false"/>
      <protection locked="true" hidden="false"/>
    </xf>
    <xf numFmtId="164" fontId="28" fillId="2" borderId="0" xfId="0" applyFont="true" applyBorder="true" applyAlignment="true" applyProtection="true">
      <alignment horizontal="center" vertical="center" textRotation="0" wrapText="false" indent="0" shrinkToFit="false"/>
      <protection locked="true" hidden="false"/>
    </xf>
    <xf numFmtId="164" fontId="6" fillId="9" borderId="2" xfId="0" applyFont="true" applyBorder="true" applyAlignment="true" applyProtection="true">
      <alignment horizontal="left" vertical="center" textRotation="0" wrapText="true" indent="0" shrinkToFit="false"/>
      <protection locked="true" hidden="false"/>
    </xf>
    <xf numFmtId="181" fontId="6" fillId="9" borderId="2" xfId="0" applyFont="true" applyBorder="true" applyAlignment="true" applyProtection="true">
      <alignment horizontal="right" vertical="center" textRotation="0" wrapText="true" indent="0" shrinkToFit="false"/>
      <protection locked="true" hidden="false"/>
    </xf>
    <xf numFmtId="181" fontId="6" fillId="4" borderId="2" xfId="0" applyFont="true" applyBorder="true" applyAlignment="true" applyProtection="true">
      <alignment horizontal="right" vertical="center" textRotation="0" wrapText="true" indent="0" shrinkToFit="false"/>
      <protection locked="true" hidden="false"/>
    </xf>
    <xf numFmtId="182" fontId="10" fillId="5" borderId="2" xfId="0" applyFont="true" applyBorder="true" applyAlignment="true" applyProtection="true">
      <alignment horizontal="center" vertical="center" textRotation="0" wrapText="true" indent="0" shrinkToFit="false"/>
      <protection locked="true" hidden="false"/>
    </xf>
    <xf numFmtId="164" fontId="27" fillId="2" borderId="0" xfId="0" applyFont="true" applyBorder="false" applyAlignment="false" applyProtection="true">
      <alignment horizontal="general" vertical="bottom" textRotation="0" wrapText="false" indent="0" shrinkToFit="false"/>
      <protection locked="true" hidden="false"/>
    </xf>
    <xf numFmtId="164" fontId="30" fillId="2" borderId="0" xfId="0" applyFont="true" applyBorder="true" applyAlignment="true" applyProtection="false">
      <alignment horizontal="center" vertical="center" textRotation="0" wrapText="true" indent="0" shrinkToFit="false"/>
      <protection locked="true" hidden="false"/>
    </xf>
    <xf numFmtId="164" fontId="30" fillId="2" borderId="13" xfId="0" applyFont="true" applyBorder="true" applyAlignment="true" applyProtection="false">
      <alignment horizontal="center" vertical="center" textRotation="0" wrapText="true" indent="0" shrinkToFit="false"/>
      <protection locked="true" hidden="false"/>
    </xf>
    <xf numFmtId="164" fontId="36" fillId="5" borderId="6" xfId="0" applyFont="true" applyBorder="true" applyAlignment="true" applyProtection="true">
      <alignment horizontal="center" vertical="center" textRotation="0" wrapText="true" indent="0" shrinkToFit="false"/>
      <protection locked="true" hidden="false"/>
    </xf>
    <xf numFmtId="164" fontId="37" fillId="5" borderId="2" xfId="0" applyFont="true" applyBorder="true" applyAlignment="true" applyProtection="false">
      <alignment horizontal="general" vertical="center" textRotation="0" wrapText="true" indent="0" shrinkToFit="false"/>
      <protection locked="true" hidden="false"/>
    </xf>
    <xf numFmtId="168" fontId="38" fillId="6" borderId="2" xfId="0" applyFont="true" applyBorder="true" applyAlignment="true" applyProtection="false">
      <alignment horizontal="center" vertical="center" textRotation="0" wrapText="true" indent="0" shrinkToFit="false"/>
      <protection locked="true" hidden="false"/>
    </xf>
    <xf numFmtId="175" fontId="38" fillId="6" borderId="2" xfId="0" applyFont="true" applyBorder="true" applyAlignment="true" applyProtection="false">
      <alignment horizontal="center" vertical="center" textRotation="0" wrapText="tru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83" fontId="38" fillId="6" borderId="2" xfId="0" applyFont="true" applyBorder="true" applyAlignment="true" applyProtection="false">
      <alignment horizontal="center" vertical="center" textRotation="0" wrapText="true" indent="0" shrinkToFit="false"/>
      <protection locked="true" hidden="false"/>
    </xf>
    <xf numFmtId="164" fontId="36" fillId="5" borderId="12" xfId="0" applyFont="true" applyBorder="true" applyAlignment="true" applyProtection="false">
      <alignment horizontal="left" vertical="center" textRotation="0" wrapText="true" indent="0" shrinkToFit="false"/>
      <protection locked="true" hidden="false"/>
    </xf>
    <xf numFmtId="168" fontId="36" fillId="5" borderId="2" xfId="15" applyFont="true" applyBorder="true" applyAlignment="true" applyProtection="true">
      <alignment horizontal="center" vertical="center" textRotation="0" wrapText="true" indent="0" shrinkToFit="false"/>
      <protection locked="true" hidden="false"/>
    </xf>
    <xf numFmtId="184" fontId="0" fillId="0" borderId="0" xfId="0" applyFont="false" applyBorder="false" applyAlignment="false" applyProtection="false">
      <alignment horizontal="general" vertical="bottom" textRotation="0" wrapText="false" indent="0" shrinkToFit="false"/>
      <protection locked="true" hidden="false"/>
    </xf>
    <xf numFmtId="164" fontId="38" fillId="4" borderId="12" xfId="0" applyFont="true" applyBorder="true" applyAlignment="true" applyProtection="false">
      <alignment horizontal="left" vertical="center" textRotation="0" wrapText="true" indent="0" shrinkToFit="false"/>
      <protection locked="true" hidden="false"/>
    </xf>
    <xf numFmtId="168" fontId="38" fillId="4" borderId="2" xfId="15" applyFont="true" applyBorder="true" applyAlignment="true" applyProtection="true">
      <alignment horizontal="center" vertical="center" textRotation="0" wrapText="true" indent="0" shrinkToFit="false"/>
      <protection locked="true" hidden="false"/>
    </xf>
    <xf numFmtId="167" fontId="36" fillId="5" borderId="2" xfId="15" applyFont="true" applyBorder="true" applyAlignment="true" applyProtection="true">
      <alignment horizontal="center" vertical="center" textRotation="0" wrapText="true" indent="0" shrinkToFit="false"/>
      <protection locked="true" hidden="false"/>
    </xf>
    <xf numFmtId="164" fontId="41" fillId="0" borderId="0" xfId="0" applyFont="true" applyBorder="false" applyAlignment="true" applyProtection="false">
      <alignment horizontal="general" vertical="bottom" textRotation="0" wrapText="true" indent="0" shrinkToFit="false"/>
      <protection locked="true" hidden="false"/>
    </xf>
    <xf numFmtId="164" fontId="36" fillId="5" borderId="13" xfId="0" applyFont="true" applyBorder="true" applyAlignment="true" applyProtection="false">
      <alignment horizontal="center" vertical="center" textRotation="0" wrapText="true" indent="0" shrinkToFit="false"/>
      <protection locked="true" hidden="false"/>
    </xf>
    <xf numFmtId="164" fontId="36" fillId="5"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Título 1 1" xfId="20"/>
    <cellStyle name="Título 1 1 1"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53735"/>
      <rgbColor rgb="FFFDEADA"/>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CD5B5"/>
      <rgbColor rgb="FF99CCFF"/>
      <rgbColor rgb="FFFF99CC"/>
      <rgbColor rgb="FFCC99FF"/>
      <rgbColor rgb="FFFAC090"/>
      <rgbColor rgb="FF3366FF"/>
      <rgbColor rgb="FF33CCCC"/>
      <rgbColor rgb="FF99CC00"/>
      <rgbColor rgb="FFFFCC00"/>
      <rgbColor rgb="FFF79646"/>
      <rgbColor rgb="FFD55816"/>
      <rgbColor rgb="FF666699"/>
      <rgbColor rgb="FF969696"/>
      <rgbColor rgb="FF003366"/>
      <rgbColor rgb="FF339966"/>
      <rgbColor rgb="FF003300"/>
      <rgbColor rgb="FF333300"/>
      <rgbColor rgb="FF984807"/>
      <rgbColor rgb="FFC55A11"/>
      <rgbColor rgb="FF333399"/>
      <rgbColor rgb="FF63252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36</xdr:row>
      <xdr:rowOff>8640</xdr:rowOff>
    </xdr:from>
    <xdr:to>
      <xdr:col>1</xdr:col>
      <xdr:colOff>360</xdr:colOff>
      <xdr:row>37</xdr:row>
      <xdr:rowOff>22680</xdr:rowOff>
    </xdr:to>
    <xdr:sp>
      <xdr:nvSpPr>
        <xdr:cNvPr id="0" name="CustomShape 1"/>
        <xdr:cNvSpPr/>
      </xdr:nvSpPr>
      <xdr:spPr>
        <a:xfrm>
          <a:off x="79200" y="8285760"/>
          <a:ext cx="360" cy="213840"/>
        </a:xfrm>
        <a:prstGeom prst="rect">
          <a:avLst/>
        </a:prstGeom>
        <a:no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9360</xdr:rowOff>
    </xdr:from>
    <xdr:to>
      <xdr:col>1</xdr:col>
      <xdr:colOff>360</xdr:colOff>
      <xdr:row>25</xdr:row>
      <xdr:rowOff>23040</xdr:rowOff>
    </xdr:to>
    <xdr:sp>
      <xdr:nvSpPr>
        <xdr:cNvPr id="1" name="CustomShape 1"/>
        <xdr:cNvSpPr/>
      </xdr:nvSpPr>
      <xdr:spPr>
        <a:xfrm>
          <a:off x="79200" y="5095440"/>
          <a:ext cx="360" cy="213840"/>
        </a:xfrm>
        <a:prstGeom prst="rect">
          <a:avLst/>
        </a:prstGeom>
        <a:no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9360</xdr:rowOff>
    </xdr:from>
    <xdr:to>
      <xdr:col>1</xdr:col>
      <xdr:colOff>360</xdr:colOff>
      <xdr:row>25</xdr:row>
      <xdr:rowOff>23040</xdr:rowOff>
    </xdr:to>
    <xdr:sp>
      <xdr:nvSpPr>
        <xdr:cNvPr id="2" name="CustomShape 1"/>
        <xdr:cNvSpPr/>
      </xdr:nvSpPr>
      <xdr:spPr>
        <a:xfrm>
          <a:off x="79200" y="5095440"/>
          <a:ext cx="360" cy="213840"/>
        </a:xfrm>
        <a:prstGeom prst="rect">
          <a:avLst/>
        </a:prstGeom>
        <a:no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7560</xdr:rowOff>
    </xdr:from>
    <xdr:to>
      <xdr:col>1</xdr:col>
      <xdr:colOff>360</xdr:colOff>
      <xdr:row>25</xdr:row>
      <xdr:rowOff>21240</xdr:rowOff>
    </xdr:to>
    <xdr:sp>
      <xdr:nvSpPr>
        <xdr:cNvPr id="3" name="CustomShape 1"/>
        <xdr:cNvSpPr/>
      </xdr:nvSpPr>
      <xdr:spPr>
        <a:xfrm>
          <a:off x="79200" y="5093640"/>
          <a:ext cx="360" cy="213840"/>
        </a:xfrm>
        <a:prstGeom prst="rect">
          <a:avLst/>
        </a:prstGeom>
        <a:noFill/>
        <a:ln>
          <a:noFill/>
        </a:ln>
      </xdr:spPr>
      <xdr:style>
        <a:lnRef idx="0"/>
        <a:fillRef idx="0"/>
        <a:effectRef idx="0"/>
        <a:fontRef idx="minor"/>
      </xdr:style>
    </xdr:sp>
    <xdr:clientData/>
  </xdr:twoCellAnchor>
</xdr:wsDr>
</file>

<file path=xl/worksheets/_rels/sheet11.xml.rels><?xml version="1.0" encoding="UTF-8"?>
<Relationships xmlns="http://schemas.openxmlformats.org/package/2006/relationships"><Relationship Id="rId1" Type="http://schemas.openxmlformats.org/officeDocument/2006/relationships/drawing" Target="../drawings/drawing3.xml"/>
</Relationships>
</file>

<file path=xl/worksheets/_rels/sheet13.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1.xml"/>
</Relationships>
</file>

<file path=xl/worksheets/_rels/sheet9.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1048576"/>
  <sheetViews>
    <sheetView showFormulas="false" showGridLines="true" showRowColHeaders="true" showZeros="true" rightToLeft="false" tabSelected="true" showOutlineSymbols="true" defaultGridColor="true" view="normal" topLeftCell="A37" colorId="64" zoomScale="80" zoomScaleNormal="80" zoomScalePageLayoutView="100" workbookViewId="0">
      <selection pane="topLeft" activeCell="H9" activeCellId="0" sqref="H9"/>
    </sheetView>
  </sheetViews>
  <sheetFormatPr defaultRowHeight="13.8" zeroHeight="false" outlineLevelRow="0" outlineLevelCol="0"/>
  <cols>
    <col collapsed="false" customWidth="true" hidden="false" outlineLevel="0" max="1" min="1" style="1" width="2.57"/>
    <col collapsed="false" customWidth="true" hidden="false" outlineLevel="0" max="2" min="2" style="1" width="8.86"/>
    <col collapsed="false" customWidth="true" hidden="false" outlineLevel="0" max="3" min="3" style="1" width="48.01"/>
    <col collapsed="false" customWidth="true" hidden="false" outlineLevel="0" max="4" min="4" style="1" width="11.3"/>
    <col collapsed="false" customWidth="true" hidden="false" outlineLevel="0" max="5" min="5" style="1" width="11.71"/>
    <col collapsed="false" customWidth="true" hidden="false" outlineLevel="0" max="6" min="6" style="1" width="14.43"/>
    <col collapsed="false" customWidth="true" hidden="false" outlineLevel="0" max="7" min="7" style="1" width="10.99"/>
    <col collapsed="false" customWidth="true" hidden="false" outlineLevel="0" max="10" min="8" style="1" width="13.02"/>
    <col collapsed="false" customWidth="true" hidden="false" outlineLevel="0" max="12" min="11" style="1" width="12.57"/>
    <col collapsed="false" customWidth="true" hidden="false" outlineLevel="0" max="15" min="13" style="1" width="9.13"/>
    <col collapsed="false" customWidth="true" hidden="false" outlineLevel="0" max="16" min="16" style="1" width="15.8"/>
    <col collapsed="false" customWidth="true" hidden="false" outlineLevel="0" max="1018" min="17" style="1" width="9.13"/>
    <col collapsed="false" customWidth="false" hidden="false" outlineLevel="0" max="1019" min="1019" style="0" width="11.57"/>
    <col collapsed="false" customWidth="false" hidden="false" outlineLevel="0" max="1025" min="1020" style="0" width="11.52"/>
  </cols>
  <sheetData>
    <row r="1" customFormat="false" ht="20.25" hidden="false" customHeight="true" outlineLevel="0" collapsed="false">
      <c r="B1" s="2" t="s">
        <v>0</v>
      </c>
      <c r="C1" s="2"/>
      <c r="D1" s="2"/>
      <c r="E1" s="2"/>
      <c r="F1" s="2"/>
      <c r="H1" s="3"/>
      <c r="I1" s="3"/>
      <c r="J1" s="3"/>
      <c r="K1" s="3"/>
      <c r="L1" s="3"/>
      <c r="M1" s="3"/>
    </row>
    <row r="2" customFormat="false" ht="17.35" hidden="false" customHeight="false" outlineLevel="0" collapsed="false">
      <c r="B2" s="2" t="s">
        <v>1</v>
      </c>
      <c r="C2" s="2"/>
      <c r="D2" s="2"/>
      <c r="E2" s="4" t="s">
        <v>2</v>
      </c>
      <c r="F2" s="5" t="n">
        <v>44915</v>
      </c>
      <c r="H2" s="3"/>
      <c r="I2" s="3"/>
      <c r="J2" s="3"/>
      <c r="K2" s="3"/>
      <c r="L2" s="3"/>
      <c r="M2" s="3"/>
    </row>
    <row r="3" s="3" customFormat="true" ht="25.5" hidden="false" customHeight="true" outlineLevel="0" collapsed="false">
      <c r="B3" s="6" t="s">
        <v>3</v>
      </c>
      <c r="C3" s="6"/>
      <c r="D3" s="6"/>
      <c r="E3" s="6"/>
      <c r="F3" s="6"/>
      <c r="AMF3" s="0"/>
      <c r="AMG3" s="0"/>
      <c r="AMH3" s="0"/>
      <c r="AMI3" s="0"/>
      <c r="AMJ3" s="0"/>
    </row>
    <row r="4" s="3" customFormat="true" ht="15.95" hidden="false" customHeight="true" outlineLevel="0" collapsed="false">
      <c r="B4" s="7" t="s">
        <v>4</v>
      </c>
      <c r="C4" s="7"/>
      <c r="D4" s="7"/>
      <c r="E4" s="7"/>
      <c r="F4" s="7"/>
      <c r="AMF4" s="0"/>
      <c r="AMG4" s="0"/>
      <c r="AMH4" s="0"/>
      <c r="AMI4" s="0"/>
      <c r="AMJ4" s="0"/>
    </row>
    <row r="5" s="3" customFormat="true" ht="15.95" hidden="false" customHeight="true" outlineLevel="0" collapsed="false">
      <c r="B5" s="8" t="s">
        <v>5</v>
      </c>
      <c r="C5" s="8"/>
      <c r="D5" s="9" t="s">
        <v>6</v>
      </c>
      <c r="E5" s="9"/>
      <c r="F5" s="9"/>
      <c r="AMF5" s="0"/>
      <c r="AMG5" s="0"/>
      <c r="AMH5" s="0"/>
      <c r="AMI5" s="0"/>
      <c r="AMJ5" s="0"/>
    </row>
    <row r="6" s="3" customFormat="true" ht="13.8" hidden="false" customHeight="false" outlineLevel="0" collapsed="false">
      <c r="B6" s="10" t="s">
        <v>7</v>
      </c>
      <c r="C6" s="10"/>
      <c r="D6" s="11" t="s">
        <v>8</v>
      </c>
      <c r="E6" s="11"/>
      <c r="F6" s="12" t="s">
        <v>9</v>
      </c>
      <c r="AMF6" s="0"/>
      <c r="AMG6" s="0"/>
      <c r="AMH6" s="0"/>
      <c r="AMI6" s="0"/>
      <c r="AMJ6" s="0"/>
    </row>
    <row r="7" s="3" customFormat="true" ht="15.75" hidden="false" customHeight="true" outlineLevel="0" collapsed="false">
      <c r="B7" s="8" t="s">
        <v>10</v>
      </c>
      <c r="C7" s="8"/>
      <c r="D7" s="12" t="s">
        <v>11</v>
      </c>
      <c r="E7" s="12"/>
      <c r="F7" s="12" t="s">
        <v>12</v>
      </c>
      <c r="G7" s="0"/>
      <c r="H7" s="3" t="s">
        <v>13</v>
      </c>
      <c r="AMF7" s="0"/>
      <c r="AMG7" s="0"/>
      <c r="AMH7" s="0"/>
      <c r="AMI7" s="0"/>
      <c r="AMJ7" s="0"/>
    </row>
    <row r="8" s="13" customFormat="true" ht="13.8" hidden="false" customHeight="false" outlineLevel="0" collapsed="false">
      <c r="C8" s="14"/>
      <c r="D8" s="15"/>
      <c r="E8" s="15"/>
      <c r="F8" s="16"/>
      <c r="H8" s="3"/>
      <c r="I8" s="3"/>
      <c r="J8" s="3"/>
      <c r="K8" s="3"/>
      <c r="L8" s="3"/>
      <c r="M8" s="3"/>
      <c r="AMF8" s="0"/>
      <c r="AMG8" s="0"/>
      <c r="AMH8" s="0"/>
      <c r="AMI8" s="0"/>
      <c r="AMJ8" s="0"/>
    </row>
    <row r="9" s="13" customFormat="true" ht="48.5" hidden="false" customHeight="true" outlineLevel="0" collapsed="false">
      <c r="C9" s="14"/>
      <c r="D9" s="15"/>
      <c r="E9" s="15"/>
      <c r="F9" s="16"/>
      <c r="G9" s="3"/>
      <c r="H9" s="17" t="s">
        <v>14</v>
      </c>
      <c r="I9" s="17"/>
      <c r="J9" s="17"/>
      <c r="K9" s="17"/>
      <c r="L9" s="17"/>
      <c r="M9" s="17"/>
      <c r="N9" s="17"/>
      <c r="O9" s="17"/>
      <c r="P9" s="17"/>
      <c r="AMF9" s="0"/>
      <c r="AMG9" s="0"/>
      <c r="AMH9" s="0"/>
      <c r="AMI9" s="0"/>
      <c r="AMJ9" s="0"/>
    </row>
    <row r="10" s="13" customFormat="true" ht="15.75" hidden="false" customHeight="true" outlineLevel="0" collapsed="false">
      <c r="B10" s="7" t="s">
        <v>15</v>
      </c>
      <c r="C10" s="7"/>
      <c r="D10" s="7"/>
      <c r="E10" s="7"/>
      <c r="F10" s="7"/>
      <c r="G10" s="3"/>
      <c r="H10" s="18" t="s">
        <v>16</v>
      </c>
      <c r="I10" s="3"/>
      <c r="J10" s="3"/>
      <c r="K10" s="3"/>
      <c r="L10" s="3"/>
      <c r="M10" s="3"/>
      <c r="AMF10" s="0"/>
      <c r="AMG10" s="0"/>
      <c r="AMH10" s="0"/>
      <c r="AMI10" s="0"/>
      <c r="AMJ10" s="0"/>
    </row>
    <row r="11" s="3" customFormat="true" ht="18" hidden="false" customHeight="true" outlineLevel="0" collapsed="false">
      <c r="B11" s="19" t="s">
        <v>17</v>
      </c>
      <c r="C11" s="8" t="s">
        <v>18</v>
      </c>
      <c r="D11" s="8"/>
      <c r="E11" s="8"/>
      <c r="F11" s="20" t="n">
        <v>44915</v>
      </c>
      <c r="AMF11" s="0"/>
      <c r="AMG11" s="0"/>
      <c r="AMH11" s="0"/>
      <c r="AMI11" s="0"/>
      <c r="AMJ11" s="0"/>
    </row>
    <row r="12" s="3" customFormat="true" ht="15.95" hidden="false" customHeight="true" outlineLevel="0" collapsed="false">
      <c r="B12" s="21" t="s">
        <v>19</v>
      </c>
      <c r="C12" s="22" t="s">
        <v>20</v>
      </c>
      <c r="D12" s="23"/>
      <c r="E12" s="23"/>
      <c r="F12" s="23"/>
      <c r="AMF12" s="0"/>
      <c r="AMG12" s="0"/>
      <c r="AMH12" s="0"/>
      <c r="AMI12" s="0"/>
      <c r="AMJ12" s="0"/>
    </row>
    <row r="13" s="3" customFormat="true" ht="15.95" hidden="false" customHeight="true" outlineLevel="0" collapsed="false">
      <c r="B13" s="19" t="s">
        <v>21</v>
      </c>
      <c r="C13" s="8" t="s">
        <v>22</v>
      </c>
      <c r="D13" s="8"/>
      <c r="E13" s="8"/>
      <c r="F13" s="24" t="s">
        <v>23</v>
      </c>
      <c r="AMF13" s="0"/>
      <c r="AMG13" s="0"/>
      <c r="AMH13" s="0"/>
      <c r="AMI13" s="0"/>
      <c r="AMJ13" s="0"/>
    </row>
    <row r="14" s="3" customFormat="true" ht="16.5" hidden="false" customHeight="true" outlineLevel="0" collapsed="false">
      <c r="B14" s="21" t="s">
        <v>24</v>
      </c>
      <c r="C14" s="25" t="s">
        <v>25</v>
      </c>
      <c r="D14" s="25"/>
      <c r="E14" s="25"/>
      <c r="F14" s="12" t="s">
        <v>26</v>
      </c>
      <c r="AMF14" s="0"/>
      <c r="AMG14" s="0"/>
      <c r="AMH14" s="0"/>
      <c r="AMI14" s="0"/>
      <c r="AMJ14" s="0"/>
    </row>
    <row r="15" s="3" customFormat="true" ht="15.95" hidden="false" customHeight="true" outlineLevel="0" collapsed="false">
      <c r="B15" s="21" t="s">
        <v>27</v>
      </c>
      <c r="C15" s="8" t="s">
        <v>28</v>
      </c>
      <c r="D15" s="8"/>
      <c r="E15" s="8"/>
      <c r="F15" s="26" t="n">
        <v>12</v>
      </c>
      <c r="AMF15" s="0"/>
      <c r="AMG15" s="0"/>
      <c r="AMH15" s="0"/>
      <c r="AMI15" s="0"/>
      <c r="AMJ15" s="0"/>
    </row>
    <row r="16" s="3" customFormat="true" ht="15.95" hidden="false" customHeight="true" outlineLevel="0" collapsed="false">
      <c r="A16" s="13"/>
      <c r="B16" s="13"/>
      <c r="C16" s="14"/>
      <c r="D16" s="15"/>
      <c r="E16" s="15"/>
      <c r="F16" s="16"/>
      <c r="AMF16" s="0"/>
      <c r="AMG16" s="0"/>
      <c r="AMH16" s="0"/>
      <c r="AMI16" s="0"/>
      <c r="AMJ16" s="0"/>
    </row>
    <row r="17" s="3" customFormat="true" ht="16.5" hidden="false" customHeight="true" outlineLevel="0" collapsed="false">
      <c r="A17" s="13"/>
      <c r="B17" s="7" t="s">
        <v>29</v>
      </c>
      <c r="C17" s="7"/>
      <c r="D17" s="7"/>
      <c r="E17" s="7"/>
      <c r="F17" s="7"/>
      <c r="AMF17" s="0"/>
      <c r="AMG17" s="0"/>
      <c r="AMH17" s="0"/>
      <c r="AMI17" s="0"/>
      <c r="AMJ17" s="0"/>
    </row>
    <row r="18" s="27" customFormat="true" ht="32.25" hidden="false" customHeight="true" outlineLevel="0" collapsed="false">
      <c r="B18" s="28" t="s">
        <v>30</v>
      </c>
      <c r="C18" s="21" t="s">
        <v>31</v>
      </c>
      <c r="D18" s="29" t="s">
        <v>32</v>
      </c>
      <c r="E18" s="30" t="s">
        <v>33</v>
      </c>
      <c r="F18" s="30" t="s">
        <v>34</v>
      </c>
      <c r="H18" s="3"/>
      <c r="I18" s="3"/>
      <c r="J18" s="3"/>
      <c r="K18" s="3"/>
      <c r="L18" s="3"/>
      <c r="M18" s="3"/>
      <c r="AMF18" s="0"/>
      <c r="AMG18" s="0"/>
      <c r="AMH18" s="0"/>
      <c r="AMI18" s="0"/>
      <c r="AMJ18" s="0"/>
    </row>
    <row r="19" s="3" customFormat="true" ht="16.5" hidden="false" customHeight="true" outlineLevel="0" collapsed="false">
      <c r="B19" s="19" t="s">
        <v>35</v>
      </c>
      <c r="C19" s="31" t="s">
        <v>36</v>
      </c>
      <c r="D19" s="32" t="s">
        <v>37</v>
      </c>
      <c r="E19" s="33" t="n">
        <v>1</v>
      </c>
      <c r="F19" s="34" t="n">
        <v>1217</v>
      </c>
      <c r="AMF19" s="0"/>
      <c r="AMG19" s="0"/>
      <c r="AMH19" s="0"/>
      <c r="AMI19" s="0"/>
      <c r="AMJ19" s="0"/>
    </row>
    <row r="20" s="3" customFormat="true" ht="16.5" hidden="false" customHeight="true" outlineLevel="0" collapsed="false">
      <c r="B20" s="21" t="s">
        <v>38</v>
      </c>
      <c r="C20" s="35" t="s">
        <v>39</v>
      </c>
      <c r="D20" s="32" t="s">
        <v>37</v>
      </c>
      <c r="E20" s="36" t="n">
        <f aca="false">'QTDE-ESTIMADA-SERVENTES'!E29</f>
        <v>6</v>
      </c>
      <c r="F20" s="34" t="n">
        <v>1217</v>
      </c>
      <c r="AMF20" s="0"/>
      <c r="AMG20" s="0"/>
      <c r="AMH20" s="0"/>
      <c r="AMI20" s="0"/>
      <c r="AMJ20" s="0"/>
    </row>
    <row r="21" s="13" customFormat="true" ht="16.5" hidden="false" customHeight="true" outlineLevel="0" collapsed="false">
      <c r="A21" s="3"/>
      <c r="B21" s="19" t="s">
        <v>40</v>
      </c>
      <c r="C21" s="31" t="s">
        <v>41</v>
      </c>
      <c r="D21" s="32" t="s">
        <v>37</v>
      </c>
      <c r="E21" s="37" t="n">
        <f aca="false">'QTDE-ESTIMADA-SERVENTES'!E44+'QTDE-ESTIMADA-SERVENTES'!E60+'QTDE-ESTIMADA-SERVENTES'!E75</f>
        <v>4</v>
      </c>
      <c r="F21" s="34" t="n">
        <v>1217</v>
      </c>
      <c r="H21" s="3"/>
      <c r="I21" s="3"/>
      <c r="J21" s="3"/>
      <c r="K21" s="3"/>
      <c r="L21" s="3"/>
      <c r="M21" s="3"/>
      <c r="AMF21" s="0"/>
      <c r="AMG21" s="0"/>
      <c r="AMH21" s="0"/>
      <c r="AMI21" s="0"/>
      <c r="AMJ21" s="0"/>
    </row>
    <row r="22" s="3" customFormat="true" ht="15.95" hidden="false" customHeight="true" outlineLevel="0" collapsed="false">
      <c r="B22" s="38"/>
      <c r="C22" s="38"/>
      <c r="D22" s="38"/>
      <c r="E22" s="38"/>
      <c r="F22" s="38"/>
      <c r="AMF22" s="0"/>
      <c r="AMG22" s="0"/>
      <c r="AMH22" s="0"/>
      <c r="AMI22" s="0"/>
      <c r="AMJ22" s="0"/>
    </row>
    <row r="23" s="3" customFormat="true" ht="15" hidden="false" customHeight="true" outlineLevel="0" collapsed="false">
      <c r="B23" s="7" t="s">
        <v>42</v>
      </c>
      <c r="C23" s="7"/>
      <c r="D23" s="7"/>
      <c r="E23" s="7"/>
      <c r="F23" s="7"/>
      <c r="AMF23" s="0"/>
      <c r="AMG23" s="0"/>
      <c r="AMH23" s="0"/>
      <c r="AMI23" s="0"/>
      <c r="AMJ23" s="0"/>
    </row>
    <row r="24" s="3" customFormat="true" ht="15" hidden="false" customHeight="true" outlineLevel="0" collapsed="false">
      <c r="B24" s="19" t="n">
        <v>1</v>
      </c>
      <c r="C24" s="8" t="s">
        <v>43</v>
      </c>
      <c r="D24" s="8"/>
      <c r="E24" s="26" t="s">
        <v>44</v>
      </c>
      <c r="F24" s="26"/>
      <c r="AMF24" s="0"/>
      <c r="AMG24" s="0"/>
      <c r="AMH24" s="0"/>
      <c r="AMI24" s="0"/>
      <c r="AMJ24" s="0"/>
    </row>
    <row r="25" s="3" customFormat="true" ht="15" hidden="false" customHeight="true" outlineLevel="0" collapsed="false">
      <c r="A25" s="13"/>
      <c r="B25" s="19" t="n">
        <v>2</v>
      </c>
      <c r="C25" s="39" t="s">
        <v>45</v>
      </c>
      <c r="D25" s="40" t="s">
        <v>46</v>
      </c>
      <c r="E25" s="40"/>
      <c r="F25" s="40"/>
      <c r="AMF25" s="0"/>
      <c r="AMG25" s="0"/>
      <c r="AMH25" s="0"/>
      <c r="AMI25" s="0"/>
      <c r="AMJ25" s="0"/>
    </row>
    <row r="26" s="3" customFormat="true" ht="15.95" hidden="false" customHeight="true" outlineLevel="0" collapsed="false">
      <c r="B26" s="19" t="n">
        <v>3</v>
      </c>
      <c r="C26" s="8" t="s">
        <v>47</v>
      </c>
      <c r="D26" s="8"/>
      <c r="E26" s="8"/>
      <c r="F26" s="20" t="n">
        <v>44562</v>
      </c>
      <c r="AMF26" s="0"/>
      <c r="AMG26" s="0"/>
      <c r="AMH26" s="0"/>
      <c r="AMI26" s="0"/>
      <c r="AMJ26" s="0"/>
    </row>
    <row r="27" s="3" customFormat="true" ht="15.95" hidden="false" customHeight="true" outlineLevel="0" collapsed="false">
      <c r="B27" s="19" t="n">
        <v>4</v>
      </c>
      <c r="C27" s="10" t="s">
        <v>48</v>
      </c>
      <c r="D27" s="10"/>
      <c r="E27" s="10"/>
      <c r="F27" s="41" t="n">
        <v>1212</v>
      </c>
      <c r="AMF27" s="0"/>
      <c r="AMG27" s="0"/>
      <c r="AMH27" s="0"/>
      <c r="AMI27" s="0"/>
      <c r="AMJ27" s="0"/>
    </row>
    <row r="28" s="3" customFormat="true" ht="13.8" hidden="false" customHeight="false" outlineLevel="0" collapsed="false">
      <c r="B28" s="42"/>
      <c r="C28" s="43"/>
      <c r="D28" s="43"/>
      <c r="E28" s="43"/>
      <c r="F28" s="44"/>
      <c r="AMF28" s="0"/>
      <c r="AMG28" s="0"/>
      <c r="AMH28" s="0"/>
      <c r="AMI28" s="0"/>
      <c r="AMJ28" s="0"/>
    </row>
    <row r="29" s="3" customFormat="true" ht="19.7" hidden="false" customHeight="false" outlineLevel="0" collapsed="false">
      <c r="B29" s="45" t="s">
        <v>49</v>
      </c>
      <c r="C29" s="1"/>
      <c r="D29" s="1"/>
      <c r="E29" s="1"/>
      <c r="F29" s="1"/>
      <c r="AMF29" s="0"/>
      <c r="AMG29" s="0"/>
      <c r="AMH29" s="0"/>
      <c r="AMI29" s="0"/>
      <c r="AMJ29" s="0"/>
    </row>
    <row r="30" customFormat="false" ht="13.8" hidden="false" customHeight="false" outlineLevel="0" collapsed="false">
      <c r="B30" s="46" t="s">
        <v>50</v>
      </c>
      <c r="E30" s="47"/>
      <c r="F30" s="47"/>
      <c r="H30" s="3"/>
      <c r="I30" s="3"/>
      <c r="J30" s="3"/>
      <c r="K30" s="3"/>
      <c r="L30" s="3"/>
      <c r="M30" s="3"/>
    </row>
    <row r="31" customFormat="false" ht="16.5" hidden="false" customHeight="true" outlineLevel="0" collapsed="false">
      <c r="B31" s="21" t="n">
        <v>1</v>
      </c>
      <c r="C31" s="48" t="s">
        <v>51</v>
      </c>
      <c r="D31" s="48"/>
      <c r="E31" s="48"/>
      <c r="F31" s="49" t="s">
        <v>52</v>
      </c>
      <c r="H31" s="3"/>
      <c r="I31" s="3"/>
      <c r="J31" s="3"/>
      <c r="K31" s="3"/>
      <c r="L31" s="3"/>
      <c r="M31" s="3"/>
    </row>
    <row r="32" customFormat="false" ht="16.5" hidden="false" customHeight="true" outlineLevel="0" collapsed="false">
      <c r="B32" s="21" t="s">
        <v>17</v>
      </c>
      <c r="C32" s="50" t="s">
        <v>53</v>
      </c>
      <c r="D32" s="50"/>
      <c r="E32" s="50"/>
      <c r="F32" s="51"/>
    </row>
    <row r="33" customFormat="false" ht="16.5" hidden="false" customHeight="true" outlineLevel="0" collapsed="false">
      <c r="B33" s="21" t="s">
        <v>19</v>
      </c>
      <c r="C33" s="52" t="s">
        <v>54</v>
      </c>
      <c r="D33" s="52"/>
      <c r="E33" s="52"/>
      <c r="F33" s="53" t="n">
        <v>170.26</v>
      </c>
      <c r="K33" s="54"/>
    </row>
    <row r="34" customFormat="false" ht="16.5" hidden="false" customHeight="true" outlineLevel="0" collapsed="false">
      <c r="B34" s="21" t="s">
        <v>21</v>
      </c>
      <c r="C34" s="52" t="s">
        <v>55</v>
      </c>
      <c r="D34" s="52"/>
      <c r="E34" s="52"/>
      <c r="F34" s="55"/>
      <c r="H34" s="54"/>
      <c r="I34" s="54"/>
      <c r="J34" s="54"/>
      <c r="K34" s="54"/>
      <c r="L34" s="54"/>
    </row>
    <row r="35" customFormat="false" ht="16.5" hidden="false" customHeight="true" outlineLevel="0" collapsed="false">
      <c r="B35" s="21" t="s">
        <v>24</v>
      </c>
      <c r="C35" s="52" t="s">
        <v>56</v>
      </c>
      <c r="D35" s="52"/>
      <c r="E35" s="52"/>
      <c r="F35" s="55"/>
      <c r="H35" s="54"/>
      <c r="I35" s="54"/>
      <c r="J35" s="54"/>
      <c r="K35" s="3"/>
      <c r="L35" s="54"/>
    </row>
    <row r="36" s="54" customFormat="true" ht="13.8" hidden="false" customHeight="false" outlineLevel="0" collapsed="false">
      <c r="H36" s="3"/>
      <c r="I36" s="3"/>
      <c r="J36" s="3"/>
      <c r="K36" s="13"/>
      <c r="L36" s="3"/>
      <c r="AMF36" s="0"/>
      <c r="AMG36" s="0"/>
      <c r="AMH36" s="0"/>
      <c r="AMI36" s="0"/>
      <c r="AMJ36" s="0"/>
    </row>
    <row r="37" s="54" customFormat="true" ht="13.8" hidden="false" customHeight="false" outlineLevel="0" collapsed="false">
      <c r="A37" s="1"/>
      <c r="B37" s="46" t="s">
        <v>57</v>
      </c>
      <c r="C37" s="1"/>
      <c r="D37" s="1"/>
      <c r="E37" s="56"/>
      <c r="F37" s="56"/>
      <c r="H37" s="13"/>
      <c r="I37" s="13"/>
      <c r="J37" s="13"/>
      <c r="L37" s="13"/>
      <c r="AMF37" s="0"/>
      <c r="AMG37" s="0"/>
      <c r="AMH37" s="0"/>
      <c r="AMI37" s="0"/>
      <c r="AMJ37" s="0"/>
    </row>
    <row r="38" s="54" customFormat="true" ht="31.7" hidden="false" customHeight="true" outlineLevel="0" collapsed="false">
      <c r="A38" s="1"/>
      <c r="B38" s="57" t="s">
        <v>58</v>
      </c>
      <c r="C38" s="57"/>
      <c r="D38" s="57"/>
      <c r="E38" s="57"/>
      <c r="F38" s="57"/>
      <c r="H38" s="13"/>
      <c r="I38" s="13"/>
      <c r="J38" s="13"/>
      <c r="L38" s="13"/>
      <c r="AMF38" s="0"/>
      <c r="AMG38" s="0"/>
      <c r="AMH38" s="0"/>
      <c r="AMI38" s="0"/>
      <c r="AMJ38" s="0"/>
    </row>
    <row r="39" s="54" customFormat="true" ht="31.6" hidden="false" customHeight="true" outlineLevel="0" collapsed="false">
      <c r="A39" s="1"/>
      <c r="B39" s="21" t="s">
        <v>59</v>
      </c>
      <c r="C39" s="58" t="s">
        <v>60</v>
      </c>
      <c r="D39" s="58"/>
      <c r="E39" s="58"/>
      <c r="F39" s="49" t="s">
        <v>61</v>
      </c>
      <c r="H39" s="13"/>
      <c r="I39" s="13"/>
      <c r="J39" s="13"/>
      <c r="L39" s="13"/>
      <c r="AMF39" s="0"/>
      <c r="AMG39" s="0"/>
      <c r="AMH39" s="0"/>
      <c r="AMI39" s="0"/>
      <c r="AMJ39" s="0"/>
    </row>
    <row r="40" s="54" customFormat="true" ht="16.4" hidden="false" customHeight="true" outlineLevel="0" collapsed="false">
      <c r="A40" s="1"/>
      <c r="B40" s="21" t="s">
        <v>17</v>
      </c>
      <c r="C40" s="59" t="s">
        <v>62</v>
      </c>
      <c r="D40" s="59"/>
      <c r="E40" s="59"/>
      <c r="F40" s="60" t="n">
        <v>1</v>
      </c>
      <c r="H40" s="13"/>
      <c r="I40" s="13"/>
      <c r="J40" s="13"/>
      <c r="L40" s="13"/>
      <c r="AMF40" s="0"/>
      <c r="AMG40" s="0"/>
      <c r="AMH40" s="0"/>
      <c r="AMI40" s="0"/>
      <c r="AMJ40" s="0"/>
    </row>
    <row r="41" s="54" customFormat="true" ht="13.8" hidden="false" customHeight="false" outlineLevel="0" collapsed="false">
      <c r="A41" s="1"/>
      <c r="B41" s="61" t="s">
        <v>63</v>
      </c>
      <c r="C41" s="61"/>
      <c r="D41" s="61"/>
      <c r="E41" s="61"/>
      <c r="F41" s="62" t="n">
        <f aca="false">F40</f>
        <v>1</v>
      </c>
      <c r="H41" s="13"/>
      <c r="I41" s="13"/>
      <c r="J41" s="13"/>
      <c r="L41" s="13"/>
      <c r="AMF41" s="0"/>
      <c r="AMG41" s="0"/>
      <c r="AMH41" s="0"/>
      <c r="AMI41" s="0"/>
      <c r="AMJ41" s="0"/>
    </row>
    <row r="42" s="54" customFormat="true" ht="31.3" hidden="false" customHeight="true" outlineLevel="0" collapsed="false">
      <c r="A42" s="1"/>
      <c r="B42" s="63" t="s">
        <v>64</v>
      </c>
      <c r="C42" s="63"/>
      <c r="D42" s="63"/>
      <c r="E42" s="63"/>
      <c r="F42" s="63"/>
      <c r="H42" s="13"/>
      <c r="I42" s="13"/>
      <c r="J42" s="13"/>
      <c r="L42" s="13"/>
      <c r="AMF42" s="0"/>
      <c r="AMG42" s="0"/>
      <c r="AMH42" s="0"/>
      <c r="AMI42" s="0"/>
      <c r="AMJ42" s="0"/>
    </row>
    <row r="43" s="54" customFormat="true" ht="20.15" hidden="false" customHeight="true" outlineLevel="0" collapsed="false">
      <c r="A43" s="1"/>
      <c r="B43" s="46" t="s">
        <v>65</v>
      </c>
      <c r="C43" s="13"/>
      <c r="D43" s="13"/>
      <c r="E43" s="13"/>
      <c r="F43" s="13"/>
      <c r="AMF43" s="0"/>
      <c r="AMG43" s="0"/>
      <c r="AMH43" s="0"/>
      <c r="AMI43" s="0"/>
      <c r="AMJ43" s="0"/>
    </row>
    <row r="44" s="54" customFormat="true" ht="15" hidden="false" customHeight="true" outlineLevel="0" collapsed="false">
      <c r="A44" s="1"/>
      <c r="B44" s="21" t="s">
        <v>66</v>
      </c>
      <c r="C44" s="48" t="s">
        <v>67</v>
      </c>
      <c r="D44" s="48"/>
      <c r="E44" s="49" t="s">
        <v>68</v>
      </c>
      <c r="F44" s="49" t="s">
        <v>69</v>
      </c>
      <c r="AMF44" s="0"/>
      <c r="AMG44" s="0"/>
      <c r="AMH44" s="0"/>
      <c r="AMI44" s="0"/>
      <c r="AMJ44" s="0"/>
    </row>
    <row r="45" s="54" customFormat="true" ht="13.8" hidden="false" customHeight="false" outlineLevel="0" collapsed="false">
      <c r="A45" s="1"/>
      <c r="B45" s="64" t="s">
        <v>17</v>
      </c>
      <c r="C45" s="65" t="s">
        <v>70</v>
      </c>
      <c r="D45" s="65"/>
      <c r="E45" s="65"/>
      <c r="F45" s="65"/>
      <c r="AMF45" s="0"/>
      <c r="AMG45" s="0"/>
      <c r="AMH45" s="0"/>
      <c r="AMI45" s="0"/>
      <c r="AMJ45" s="0"/>
    </row>
    <row r="46" s="54" customFormat="true" ht="16.4" hidden="false" customHeight="false" outlineLevel="0" collapsed="false">
      <c r="A46" s="1"/>
      <c r="B46" s="64" t="s">
        <v>71</v>
      </c>
      <c r="C46" s="8" t="s">
        <v>72</v>
      </c>
      <c r="D46" s="8"/>
      <c r="E46" s="26" t="s">
        <v>73</v>
      </c>
      <c r="F46" s="66" t="n">
        <f aca="false">4.4*2</f>
        <v>8.8</v>
      </c>
      <c r="AMF46" s="0"/>
      <c r="AMG46" s="0"/>
      <c r="AMH46" s="0"/>
      <c r="AMI46" s="0"/>
      <c r="AMJ46" s="0"/>
    </row>
    <row r="47" s="54" customFormat="true" ht="16.4" hidden="false" customHeight="false" outlineLevel="0" collapsed="false">
      <c r="A47" s="1"/>
      <c r="B47" s="64" t="s">
        <v>74</v>
      </c>
      <c r="C47" s="8" t="s">
        <v>75</v>
      </c>
      <c r="D47" s="8"/>
      <c r="E47" s="26" t="s">
        <v>73</v>
      </c>
      <c r="F47" s="66" t="n">
        <f aca="false">3.25*2</f>
        <v>6.5</v>
      </c>
      <c r="AMF47" s="0"/>
      <c r="AMG47" s="0"/>
      <c r="AMH47" s="0"/>
      <c r="AMI47" s="0"/>
      <c r="AMJ47" s="0"/>
    </row>
    <row r="48" s="54" customFormat="true" ht="16.4" hidden="false" customHeight="false" outlineLevel="0" collapsed="false">
      <c r="A48" s="1"/>
      <c r="B48" s="64" t="s">
        <v>76</v>
      </c>
      <c r="C48" s="8" t="s">
        <v>77</v>
      </c>
      <c r="D48" s="8"/>
      <c r="E48" s="26" t="s">
        <v>73</v>
      </c>
      <c r="F48" s="66" t="n">
        <f aca="false">4*2</f>
        <v>8</v>
      </c>
      <c r="AMF48" s="0"/>
      <c r="AMG48" s="0"/>
      <c r="AMH48" s="0"/>
      <c r="AMI48" s="0"/>
      <c r="AMJ48" s="0"/>
    </row>
    <row r="49" s="54" customFormat="true" ht="16.4" hidden="false" customHeight="false" outlineLevel="0" collapsed="false">
      <c r="A49" s="1"/>
      <c r="B49" s="64" t="s">
        <v>78</v>
      </c>
      <c r="C49" s="8" t="s">
        <v>79</v>
      </c>
      <c r="D49" s="8"/>
      <c r="E49" s="26" t="s">
        <v>73</v>
      </c>
      <c r="F49" s="66" t="n">
        <f aca="false">3.7*2</f>
        <v>7.4</v>
      </c>
      <c r="AMF49" s="0"/>
      <c r="AMG49" s="0"/>
      <c r="AMH49" s="0"/>
      <c r="AMI49" s="0"/>
      <c r="AMJ49" s="0"/>
    </row>
    <row r="50" s="54" customFormat="true" ht="15.8" hidden="false" customHeight="false" outlineLevel="0" collapsed="false">
      <c r="B50" s="64" t="s">
        <v>19</v>
      </c>
      <c r="C50" s="10" t="s">
        <v>80</v>
      </c>
      <c r="D50" s="10"/>
      <c r="E50" s="67" t="s">
        <v>73</v>
      </c>
      <c r="F50" s="66" t="n">
        <f aca="false">272.25/F51</f>
        <v>12.375</v>
      </c>
      <c r="G50" s="3"/>
      <c r="H50" s="3"/>
      <c r="K50" s="1"/>
      <c r="AMF50" s="0"/>
      <c r="AMG50" s="0"/>
      <c r="AMH50" s="0"/>
      <c r="AMI50" s="0"/>
      <c r="AMJ50" s="0"/>
    </row>
    <row r="51" s="54" customFormat="true" ht="15.8" hidden="false" customHeight="false" outlineLevel="0" collapsed="false">
      <c r="B51" s="64" t="s">
        <v>24</v>
      </c>
      <c r="C51" s="8" t="s">
        <v>81</v>
      </c>
      <c r="D51" s="8"/>
      <c r="E51" s="26" t="s">
        <v>82</v>
      </c>
      <c r="F51" s="68" t="n">
        <v>22</v>
      </c>
      <c r="G51" s="3"/>
      <c r="H51" s="3"/>
      <c r="I51" s="1"/>
      <c r="J51" s="1"/>
      <c r="K51" s="1"/>
      <c r="L51" s="1"/>
      <c r="AMF51" s="0"/>
      <c r="AMG51" s="0"/>
      <c r="AMH51" s="0"/>
      <c r="AMI51" s="0"/>
      <c r="AMJ51" s="0"/>
    </row>
    <row r="52" customFormat="false" ht="16.5" hidden="false" customHeight="true" outlineLevel="0" collapsed="false">
      <c r="B52" s="64" t="s">
        <v>21</v>
      </c>
      <c r="C52" s="8" t="s">
        <v>83</v>
      </c>
      <c r="D52" s="8"/>
      <c r="E52" s="26" t="s">
        <v>82</v>
      </c>
      <c r="F52" s="69" t="n">
        <v>0</v>
      </c>
      <c r="G52" s="3"/>
      <c r="H52" s="70" t="s">
        <v>84</v>
      </c>
      <c r="I52" s="70"/>
      <c r="J52" s="70"/>
      <c r="K52" s="71"/>
      <c r="L52" s="70"/>
      <c r="M52" s="70"/>
      <c r="N52" s="70"/>
      <c r="O52" s="70"/>
      <c r="P52" s="72"/>
      <c r="Q52" s="72"/>
    </row>
    <row r="53" customFormat="false" ht="16.5" hidden="false" customHeight="true" outlineLevel="0" collapsed="false">
      <c r="B53" s="64" t="s">
        <v>27</v>
      </c>
      <c r="C53" s="8" t="s">
        <v>85</v>
      </c>
      <c r="D53" s="8"/>
      <c r="E53" s="26" t="s">
        <v>82</v>
      </c>
      <c r="F53" s="69" t="n">
        <v>0</v>
      </c>
      <c r="G53" s="3"/>
      <c r="H53" s="3"/>
      <c r="I53" s="54"/>
      <c r="J53" s="54"/>
      <c r="K53" s="3"/>
      <c r="L53" s="54"/>
    </row>
    <row r="54" customFormat="false" ht="16.5" hidden="false" customHeight="true" outlineLevel="0" collapsed="false">
      <c r="B54" s="64" t="s">
        <v>86</v>
      </c>
      <c r="C54" s="8" t="s">
        <v>85</v>
      </c>
      <c r="D54" s="8"/>
      <c r="E54" s="26" t="s">
        <v>82</v>
      </c>
      <c r="F54" s="73" t="n">
        <f aca="false">4*0</f>
        <v>0</v>
      </c>
      <c r="G54" s="3"/>
      <c r="H54" s="3"/>
      <c r="I54" s="3"/>
      <c r="J54" s="3"/>
      <c r="K54" s="3"/>
      <c r="L54" s="3"/>
    </row>
    <row r="55" s="54" customFormat="true" ht="136.15" hidden="false" customHeight="true" outlineLevel="0" collapsed="false">
      <c r="B55" s="63" t="s">
        <v>87</v>
      </c>
      <c r="C55" s="63"/>
      <c r="D55" s="63"/>
      <c r="E55" s="63"/>
      <c r="F55" s="63"/>
      <c r="G55" s="3"/>
      <c r="H55" s="3"/>
      <c r="I55" s="3"/>
      <c r="J55" s="3"/>
      <c r="K55" s="3"/>
      <c r="L55" s="3"/>
      <c r="AMF55" s="0"/>
      <c r="AMG55" s="0"/>
      <c r="AMH55" s="0"/>
      <c r="AMI55" s="0"/>
      <c r="AMJ55" s="0"/>
    </row>
    <row r="56" s="3" customFormat="true" ht="13.8" hidden="false" customHeight="false" outlineLevel="0" collapsed="false">
      <c r="B56" s="46" t="s">
        <v>88</v>
      </c>
      <c r="C56" s="74"/>
      <c r="D56" s="75"/>
      <c r="E56" s="1"/>
      <c r="F56" s="1"/>
      <c r="AMF56" s="0"/>
      <c r="AMG56" s="0"/>
      <c r="AMH56" s="0"/>
      <c r="AMI56" s="0"/>
      <c r="AMJ56" s="0"/>
    </row>
    <row r="57" s="3" customFormat="true" ht="15" hidden="false" customHeight="true" outlineLevel="0" collapsed="false">
      <c r="B57" s="46" t="s">
        <v>89</v>
      </c>
      <c r="C57" s="74"/>
      <c r="D57" s="75"/>
      <c r="E57" s="76"/>
      <c r="F57" s="76"/>
      <c r="K57" s="1"/>
      <c r="AMF57" s="0"/>
      <c r="AMG57" s="0"/>
      <c r="AMH57" s="0"/>
      <c r="AMI57" s="0"/>
      <c r="AMJ57" s="0"/>
    </row>
    <row r="58" s="3" customFormat="true" ht="16.5" hidden="false" customHeight="true" outlineLevel="0" collapsed="false">
      <c r="B58" s="21" t="s">
        <v>90</v>
      </c>
      <c r="C58" s="48" t="s">
        <v>91</v>
      </c>
      <c r="D58" s="48"/>
      <c r="E58" s="48"/>
      <c r="F58" s="49" t="s">
        <v>92</v>
      </c>
      <c r="H58" s="1"/>
      <c r="I58" s="1"/>
      <c r="J58" s="1"/>
      <c r="K58" s="1"/>
      <c r="L58" s="1"/>
      <c r="AMF58" s="0"/>
      <c r="AMG58" s="0"/>
      <c r="AMH58" s="0"/>
      <c r="AMI58" s="0"/>
      <c r="AMJ58" s="0"/>
    </row>
    <row r="59" customFormat="false" ht="16.5" hidden="false" customHeight="true" outlineLevel="0" collapsed="false">
      <c r="A59" s="3"/>
      <c r="B59" s="49" t="s">
        <v>17</v>
      </c>
      <c r="C59" s="77" t="s">
        <v>93</v>
      </c>
      <c r="D59" s="77"/>
      <c r="E59" s="77"/>
      <c r="F59" s="78"/>
    </row>
    <row r="60" s="54" customFormat="true" ht="13.8" hidden="false" customHeight="false" outlineLevel="0" collapsed="false">
      <c r="H60" s="1"/>
      <c r="I60" s="1"/>
      <c r="J60" s="1"/>
      <c r="K60" s="1"/>
      <c r="L60" s="1"/>
      <c r="AMF60" s="0"/>
      <c r="AMG60" s="0"/>
      <c r="AMH60" s="0"/>
      <c r="AMI60" s="0"/>
      <c r="AMJ60" s="0"/>
    </row>
    <row r="61" customFormat="false" ht="13.8" hidden="false" customHeight="false" outlineLevel="0" collapsed="false">
      <c r="B61" s="46" t="s">
        <v>94</v>
      </c>
      <c r="C61" s="74"/>
      <c r="D61" s="75"/>
      <c r="E61" s="76"/>
      <c r="F61" s="76"/>
    </row>
    <row r="62" customFormat="false" ht="16.4" hidden="false" customHeight="false" outlineLevel="0" collapsed="false">
      <c r="B62" s="21" t="s">
        <v>95</v>
      </c>
      <c r="C62" s="61" t="s">
        <v>96</v>
      </c>
      <c r="D62" s="61"/>
      <c r="E62" s="61"/>
      <c r="F62" s="49" t="s">
        <v>97</v>
      </c>
    </row>
    <row r="63" customFormat="false" ht="16.5" hidden="false" customHeight="true" outlineLevel="0" collapsed="false">
      <c r="B63" s="21" t="s">
        <v>17</v>
      </c>
      <c r="C63" s="79" t="s">
        <v>98</v>
      </c>
      <c r="D63" s="79"/>
      <c r="E63" s="79"/>
      <c r="F63" s="51"/>
    </row>
    <row r="64" customFormat="false" ht="15" hidden="false" customHeight="true" outlineLevel="0" collapsed="false">
      <c r="B64" s="21" t="s">
        <v>19</v>
      </c>
      <c r="C64" s="25" t="s">
        <v>99</v>
      </c>
      <c r="D64" s="25"/>
      <c r="E64" s="25"/>
      <c r="F64" s="51"/>
      <c r="K64" s="54"/>
    </row>
    <row r="65" s="54" customFormat="true" ht="13.8" hidden="false" customHeight="false" outlineLevel="0" collapsed="false">
      <c r="C65" s="54" t="s">
        <v>100</v>
      </c>
      <c r="K65" s="1"/>
      <c r="AMF65" s="0"/>
      <c r="AMG65" s="0"/>
      <c r="AMH65" s="0"/>
      <c r="AMI65" s="0"/>
      <c r="AMJ65" s="0"/>
    </row>
    <row r="66" customFormat="false" ht="13.8" hidden="false" customHeight="false" outlineLevel="0" collapsed="false">
      <c r="B66" s="46" t="s">
        <v>101</v>
      </c>
      <c r="C66" s="74"/>
      <c r="D66" s="74"/>
      <c r="E66" s="76"/>
      <c r="F66" s="76"/>
    </row>
    <row r="67" customFormat="false" ht="15.75" hidden="false" customHeight="true" outlineLevel="0" collapsed="false">
      <c r="B67" s="80" t="s">
        <v>102</v>
      </c>
      <c r="C67" s="80" t="s">
        <v>103</v>
      </c>
      <c r="D67" s="80"/>
      <c r="E67" s="80"/>
      <c r="F67" s="80" t="s">
        <v>104</v>
      </c>
      <c r="K67" s="81"/>
    </row>
    <row r="68" s="54" customFormat="true" ht="13.8" hidden="false" customHeight="false" outlineLevel="0" collapsed="false">
      <c r="H68" s="82"/>
      <c r="I68" s="82"/>
      <c r="J68" s="82"/>
      <c r="K68" s="82"/>
      <c r="L68" s="82"/>
      <c r="AMF68" s="0"/>
      <c r="AMG68" s="0"/>
      <c r="AMH68" s="0"/>
      <c r="AMI68" s="0"/>
      <c r="AMJ68" s="0"/>
    </row>
    <row r="69" s="83" customFormat="true" ht="16.5" hidden="false" customHeight="true" outlineLevel="0" collapsed="false">
      <c r="A69" s="1"/>
      <c r="B69" s="57" t="s">
        <v>105</v>
      </c>
      <c r="C69" s="57"/>
      <c r="D69" s="57"/>
      <c r="E69" s="57"/>
      <c r="F69" s="57"/>
      <c r="H69" s="82"/>
      <c r="I69" s="82"/>
      <c r="J69" s="82"/>
      <c r="K69" s="82"/>
      <c r="L69" s="82"/>
      <c r="AMF69" s="0"/>
      <c r="AMG69" s="0"/>
      <c r="AMH69" s="0"/>
      <c r="AMI69" s="0"/>
      <c r="AMJ69" s="0"/>
    </row>
    <row r="70" s="82" customFormat="true" ht="60.4" hidden="false" customHeight="true" outlineLevel="0" collapsed="false">
      <c r="A70" s="1"/>
      <c r="B70" s="21" t="n">
        <v>6</v>
      </c>
      <c r="C70" s="61" t="s">
        <v>106</v>
      </c>
      <c r="D70" s="49" t="s">
        <v>107</v>
      </c>
      <c r="E70" s="49" t="s">
        <v>108</v>
      </c>
      <c r="F70" s="49" t="s">
        <v>109</v>
      </c>
      <c r="G70" s="49" t="s">
        <v>110</v>
      </c>
      <c r="AMF70" s="0"/>
      <c r="AMG70" s="0"/>
      <c r="AMH70" s="0"/>
      <c r="AMI70" s="0"/>
      <c r="AMJ70" s="0"/>
    </row>
    <row r="71" s="82" customFormat="true" ht="16.5" hidden="false" customHeight="true" outlineLevel="0" collapsed="false">
      <c r="A71" s="81"/>
      <c r="B71" s="21" t="s">
        <v>17</v>
      </c>
      <c r="C71" s="59" t="s">
        <v>111</v>
      </c>
      <c r="D71" s="84" t="n">
        <v>4.73</v>
      </c>
      <c r="E71" s="84" t="n">
        <v>4.73</v>
      </c>
      <c r="F71" s="84" t="n">
        <v>4.73</v>
      </c>
      <c r="G71" s="84" t="n">
        <v>4.73</v>
      </c>
      <c r="H71" s="85"/>
      <c r="K71" s="1"/>
      <c r="AMF71" s="0"/>
      <c r="AMG71" s="0"/>
      <c r="AMH71" s="0"/>
      <c r="AMI71" s="0"/>
      <c r="AMJ71" s="0"/>
    </row>
    <row r="72" s="82" customFormat="true" ht="16.5" hidden="false" customHeight="true" outlineLevel="0" collapsed="false">
      <c r="A72" s="81"/>
      <c r="B72" s="49" t="s">
        <v>19</v>
      </c>
      <c r="C72" s="25" t="s">
        <v>112</v>
      </c>
      <c r="D72" s="84" t="n">
        <v>5.57</v>
      </c>
      <c r="E72" s="84" t="n">
        <v>5.57</v>
      </c>
      <c r="F72" s="84" t="n">
        <v>5.57</v>
      </c>
      <c r="G72" s="84" t="n">
        <v>5.57</v>
      </c>
      <c r="H72" s="86"/>
      <c r="I72" s="1"/>
      <c r="J72" s="1"/>
      <c r="K72" s="1"/>
      <c r="L72" s="1"/>
      <c r="AMF72" s="0"/>
      <c r="AMG72" s="0"/>
      <c r="AMH72" s="0"/>
      <c r="AMI72" s="0"/>
      <c r="AMJ72" s="0"/>
    </row>
    <row r="73" s="82" customFormat="true" ht="16.5" hidden="false" customHeight="true" outlineLevel="0" collapsed="false">
      <c r="A73" s="83"/>
      <c r="B73" s="87" t="s">
        <v>113</v>
      </c>
      <c r="C73" s="59" t="s">
        <v>114</v>
      </c>
      <c r="D73" s="84" t="n">
        <v>0.65</v>
      </c>
      <c r="E73" s="88" t="n">
        <f aca="false">D73</f>
        <v>0.65</v>
      </c>
      <c r="F73" s="88" t="n">
        <f aca="false">D73</f>
        <v>0.65</v>
      </c>
      <c r="G73" s="88" t="n">
        <f aca="false">D73</f>
        <v>0.65</v>
      </c>
      <c r="H73" s="86"/>
      <c r="I73" s="1"/>
      <c r="J73" s="1"/>
      <c r="K73" s="54"/>
      <c r="L73" s="1"/>
      <c r="AMF73" s="0"/>
      <c r="AMG73" s="0"/>
      <c r="AMH73" s="0"/>
      <c r="AMI73" s="0"/>
      <c r="AMJ73" s="0"/>
    </row>
    <row r="74" customFormat="false" ht="16.5" hidden="false" customHeight="true" outlineLevel="0" collapsed="false">
      <c r="B74" s="87" t="s">
        <v>115</v>
      </c>
      <c r="C74" s="25" t="s">
        <v>116</v>
      </c>
      <c r="D74" s="84" t="n">
        <v>3</v>
      </c>
      <c r="E74" s="88" t="n">
        <f aca="false">D74</f>
        <v>3</v>
      </c>
      <c r="F74" s="88" t="n">
        <f aca="false">D74</f>
        <v>3</v>
      </c>
      <c r="G74" s="88" t="n">
        <f aca="false">D74</f>
        <v>3</v>
      </c>
      <c r="H74" s="0"/>
      <c r="I74" s="54"/>
      <c r="J74" s="54"/>
      <c r="L74" s="54"/>
    </row>
    <row r="75" customFormat="false" ht="16.5" hidden="false" customHeight="true" outlineLevel="0" collapsed="false">
      <c r="B75" s="87" t="s">
        <v>117</v>
      </c>
      <c r="C75" s="59" t="s">
        <v>118</v>
      </c>
      <c r="D75" s="84" t="n">
        <v>5</v>
      </c>
      <c r="E75" s="84" t="n">
        <v>5</v>
      </c>
      <c r="F75" s="84" t="n">
        <v>5</v>
      </c>
      <c r="G75" s="84" t="n">
        <v>5</v>
      </c>
      <c r="H75" s="86"/>
    </row>
    <row r="76" s="54" customFormat="true" ht="13.8" hidden="false" customHeight="false" outlineLevel="0" collapsed="false">
      <c r="D76" s="54" t="s">
        <v>119</v>
      </c>
      <c r="H76" s="86"/>
      <c r="I76" s="1"/>
      <c r="J76" s="1"/>
      <c r="K76" s="1"/>
      <c r="L76" s="1"/>
      <c r="AMF76" s="0"/>
      <c r="AMG76" s="0"/>
      <c r="AMH76" s="0"/>
      <c r="AMI76" s="0"/>
      <c r="AMJ76" s="0"/>
    </row>
    <row r="77" customFormat="false" ht="17.35" hidden="false" customHeight="false" outlineLevel="0" collapsed="false">
      <c r="B77" s="89" t="s">
        <v>120</v>
      </c>
      <c r="C77" s="90"/>
      <c r="D77" s="90"/>
      <c r="E77" s="90"/>
      <c r="F77" s="91"/>
      <c r="H77" s="86"/>
    </row>
    <row r="78" customFormat="false" ht="33.75" hidden="false" customHeight="true" outlineLevel="0" collapsed="false">
      <c r="B78" s="92" t="s">
        <v>121</v>
      </c>
      <c r="C78" s="92"/>
      <c r="D78" s="92"/>
      <c r="E78" s="92"/>
      <c r="F78" s="92"/>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4">
    <mergeCell ref="B1:F1"/>
    <mergeCell ref="B2:D2"/>
    <mergeCell ref="B3:F3"/>
    <mergeCell ref="B4:F4"/>
    <mergeCell ref="B5:C5"/>
    <mergeCell ref="D5:F5"/>
    <mergeCell ref="B6:C6"/>
    <mergeCell ref="D6:E6"/>
    <mergeCell ref="B7:C7"/>
    <mergeCell ref="D7:E7"/>
    <mergeCell ref="H9:P9"/>
    <mergeCell ref="B10:F10"/>
    <mergeCell ref="C11:E11"/>
    <mergeCell ref="D12:F12"/>
    <mergeCell ref="C13:E13"/>
    <mergeCell ref="C14:E14"/>
    <mergeCell ref="C15:E15"/>
    <mergeCell ref="B17:F17"/>
    <mergeCell ref="B23:F23"/>
    <mergeCell ref="C24:D24"/>
    <mergeCell ref="E24:F24"/>
    <mergeCell ref="D25:F25"/>
    <mergeCell ref="C26:E26"/>
    <mergeCell ref="C27:E27"/>
    <mergeCell ref="C31:E31"/>
    <mergeCell ref="C32:E32"/>
    <mergeCell ref="C33:E33"/>
    <mergeCell ref="C34:E34"/>
    <mergeCell ref="C35:E35"/>
    <mergeCell ref="B38:F38"/>
    <mergeCell ref="C39:E39"/>
    <mergeCell ref="C40:E40"/>
    <mergeCell ref="B41:E41"/>
    <mergeCell ref="B42:F42"/>
    <mergeCell ref="C44:D44"/>
    <mergeCell ref="C45:F45"/>
    <mergeCell ref="C46:D46"/>
    <mergeCell ref="C47:D47"/>
    <mergeCell ref="C48:D48"/>
    <mergeCell ref="C49:D49"/>
    <mergeCell ref="C50:D50"/>
    <mergeCell ref="C51:D51"/>
    <mergeCell ref="C52:D52"/>
    <mergeCell ref="C53:D53"/>
    <mergeCell ref="C54:D54"/>
    <mergeCell ref="B55:F55"/>
    <mergeCell ref="C58:E58"/>
    <mergeCell ref="C59:E59"/>
    <mergeCell ref="C62:E62"/>
    <mergeCell ref="C63:E63"/>
    <mergeCell ref="C64:E64"/>
    <mergeCell ref="B67:F67"/>
    <mergeCell ref="B69:F69"/>
    <mergeCell ref="B78:F78"/>
  </mergeCells>
  <dataValidations count="8">
    <dataValidation allowBlank="true" error="O percentual de ISS deve estar entre 2 e 5%, conforme o inciso I do artigo 8º e o caput do art. 8º-A da Lei Complementar nº 116/2003." errorTitle="Erro na inserção de dados." operator="between" showDropDown="false" showErrorMessage="true" showInputMessage="true" sqref="D71:G74 D75:F75" type="whole">
      <formula1>2</formula1>
      <formula2>5</formula2>
    </dataValidation>
    <dataValidation allowBlank="true" error="De acordo com o art. 192 da CLT, estão previstos somente os percentuais de 40% (máximo), 20% (médio) ou 10% (mínimo), conforme for a exposição ao risco." errorTitle="Erro na inserção de dados." operator="equal" showDropDown="false" showErrorMessage="true" showInputMessage="true" sqref="F32" type="list">
      <formula1>"0,10,20,40"</formula1>
      <formula2>0</formula2>
    </dataValidation>
    <dataValidation allowBlank="true" error="Somente estão previstos 15 dias (intercalados), no caso de postos 12x36 horas, ou 22 dias (úteis), no caso de postos 44 horas." errorTitle="Erro na inserção de dados." operator="between" showDropDown="false" showErrorMessage="true" showInputMessage="true" sqref="F51" type="list">
      <formula1>"15,22"</formula1>
      <formula2>0</formula2>
    </dataValidation>
    <dataValidation allowBlank="true" error="Tem certeza que o valor do salário normativo é menor que o salário mínimo vigente no país?" errorTitle="Atentar para o valor do salário." operator="greaterThanOrEqual" showDropDown="false" showErrorMessage="true" showInputMessage="true" sqref="F19:F21" type="decimal">
      <formula1>#ref!</formula1>
      <formula2>0</formula2>
    </dataValidation>
    <dataValidation allowBlank="false" operator="between" showDropDown="false" showErrorMessage="true" showInputMessage="true" sqref="D19:D21" type="list">
      <formula1>"SIM,NÃO"</formula1>
      <formula2>0</formula2>
    </dataValidation>
    <dataValidation allowBlank="true" error="Segundo estudos da Audin-MPU, a inclusão deste item não é usual nas planilhas de custos no âmbito do MPU. Verifique se realmente há necessidade de incluí-lo." errorTitle="Atenção para a inclusão do item." operator="equal" prompt="Segundo estudos da Audin-MPU, esse item não é usual nas planilhas do MPU. Verifique se realmente há necessidade de incluí-lo." promptTitle="Intervalo Intrajornada" showDropDown="false" showErrorMessage="true" showInputMessage="true" sqref="F63:F64" type="whole">
      <formula1>0</formula1>
      <formula2>0</formula2>
    </dataValidation>
    <dataValidation allowBlank="true" operator="between" showDropDown="false" showErrorMessage="true" showInputMessage="true" sqref="F13" type="list">
      <formula1>"AC,AL,AP,AM,BA,CE,DF,ES,GO,MA,MG,MS,MT,PA,PB,PR,PE,PI,RJ,RN,RO,RR,RS,SC,SP,SE,TO"</formula1>
      <formula2>0</formula2>
    </dataValidation>
    <dataValidation allowBlank="true" error="O percentual de ISS deve estar entre 2 e 5%, conforme o inciso I do artigo 8º e o caput do art. 8º-A da Lei Complementar nº 116/2003." errorTitle="Erro na inserção de dados." operator="between" showDropDown="false" showErrorMessage="true" showInputMessage="true" sqref="G75" type="whole">
      <formula1>2</formula1>
      <formula2>5</formula2>
    </dataValidation>
  </dataValidations>
  <printOptions headings="false" gridLines="false" gridLinesSet="true" horizontalCentered="false" verticalCentered="false"/>
  <pageMargins left="0.170138888888889" right="0.170138888888889" top="0.459722222222222" bottom="0.329861111111111" header="0.511805555555555" footer="0.511805555555555"/>
  <pageSetup paperSize="9" scale="6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B1:N1048576"/>
  <sheetViews>
    <sheetView showFormulas="false" showGridLines="true" showRowColHeaders="true" showZeros="true" rightToLeft="false" tabSelected="false" showOutlineSymbols="true" defaultGridColor="true" view="normal" topLeftCell="A35" colorId="64" zoomScale="80" zoomScaleNormal="80" zoomScalePageLayoutView="100" workbookViewId="0">
      <selection pane="topLeft" activeCell="A52" activeCellId="0" sqref="A52"/>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77" width="18.85"/>
    <col collapsed="false" customWidth="true" hidden="false" outlineLevel="0" max="9" min="9" style="177" width="14.86"/>
    <col collapsed="false" customWidth="true" hidden="false" outlineLevel="0" max="10" min="10" style="177" width="12.71"/>
    <col collapsed="false" customWidth="true" hidden="false" outlineLevel="0" max="11" min="11" style="177" width="14.01"/>
    <col collapsed="false" customWidth="true" hidden="false" outlineLevel="0" max="12" min="12" style="178" width="13.7"/>
    <col collapsed="false" customWidth="true" hidden="false" outlineLevel="0" max="13" min="13" style="178" width="9.42"/>
    <col collapsed="false" customWidth="true" hidden="false" outlineLevel="0" max="14" min="14" style="178" width="12.86"/>
    <col collapsed="false" customWidth="true" hidden="false" outlineLevel="0" max="1025" min="15" style="1" width="9.13"/>
  </cols>
  <sheetData>
    <row r="1" s="1" customFormat="true" ht="20.25" hidden="false" customHeight="false" outlineLevel="0" collapsed="false">
      <c r="B1" s="128" t="str">
        <f aca="false">RAMO</f>
        <v>RAMO: MINISTÉRIO PÚBLICO FEDERAL</v>
      </c>
      <c r="C1" s="128"/>
      <c r="D1" s="128"/>
      <c r="E1" s="128"/>
      <c r="F1" s="128"/>
    </row>
    <row r="2" s="1" customFormat="true" ht="20.25" hidden="false" customHeight="false" outlineLevel="0" collapsed="false">
      <c r="B2" s="129" t="str">
        <f aca="false">UG</f>
        <v>UNIDADE GESTORA (SIGLA): PRMS</v>
      </c>
      <c r="C2" s="129"/>
      <c r="D2" s="129"/>
      <c r="E2" s="130" t="s">
        <v>2</v>
      </c>
      <c r="F2" s="131" t="n">
        <f aca="false">IF(DATA_DO_ORCAMENTO_ESTIMATIVO="","",DATA_DO_ORCAMENTO_ESTIMATIVO)</f>
        <v>44915</v>
      </c>
    </row>
    <row r="3" s="3" customFormat="true" ht="25.5" hidden="false" customHeight="false" outlineLevel="0" collapsed="false">
      <c r="B3" s="6" t="s">
        <v>301</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225</v>
      </c>
      <c r="C5" s="8"/>
      <c r="D5" s="132" t="str">
        <f aca="false">NUMERO_PROCESSO</f>
        <v>1.21.000.000675/2022-97</v>
      </c>
      <c r="E5" s="132"/>
      <c r="F5" s="132"/>
    </row>
    <row r="6" s="3" customFormat="true" ht="15.75" hidden="false" customHeight="true" outlineLevel="0" collapsed="false">
      <c r="B6" s="10" t="s">
        <v>226</v>
      </c>
      <c r="C6" s="10"/>
      <c r="D6" s="133" t="str">
        <f aca="false">MODALIDADE_DE_LICITACAO</f>
        <v>Pregão nº</v>
      </c>
      <c r="E6" s="133"/>
      <c r="F6" s="134" t="str">
        <f aca="false">NUMERO_PREGAO</f>
        <v>1/2022</v>
      </c>
    </row>
    <row r="7" s="13" customFormat="true" ht="15.75" hidden="false" customHeight="true" outlineLevel="0" collapsed="false">
      <c r="B7" s="135" t="s">
        <v>227</v>
      </c>
      <c r="C7" s="135"/>
      <c r="D7" s="135"/>
      <c r="E7" s="135"/>
      <c r="F7" s="135"/>
    </row>
    <row r="8" s="3" customFormat="true" ht="18" hidden="false" customHeight="true" outlineLevel="0" collapsed="false">
      <c r="B8" s="19" t="s">
        <v>17</v>
      </c>
      <c r="C8" s="8" t="s">
        <v>18</v>
      </c>
      <c r="D8" s="8"/>
      <c r="E8" s="8"/>
      <c r="F8" s="136" t="s">
        <v>229</v>
      </c>
    </row>
    <row r="9" s="3" customFormat="true" ht="15.95" hidden="false" customHeight="true" outlineLevel="0" collapsed="false">
      <c r="B9" s="21" t="s">
        <v>19</v>
      </c>
      <c r="C9" s="22" t="s">
        <v>20</v>
      </c>
      <c r="D9" s="114" t="str">
        <f aca="false">IF(LOCAL_DE_EXECUCAO="","",LOCAL_DE_EXECUCAO)</f>
        <v/>
      </c>
      <c r="E9" s="114"/>
      <c r="F9" s="114"/>
    </row>
    <row r="10" s="3" customFormat="true" ht="18.75" hidden="false" customHeight="true" outlineLevel="0" collapsed="false">
      <c r="B10" s="19" t="s">
        <v>21</v>
      </c>
      <c r="C10" s="8" t="s">
        <v>25</v>
      </c>
      <c r="D10" s="8"/>
      <c r="E10" s="8"/>
      <c r="F10" s="137" t="str">
        <f aca="false">ACORDO_COLETIVO</f>
        <v>01/2022</v>
      </c>
    </row>
    <row r="11" s="3" customFormat="true" ht="15.95" hidden="false" customHeight="true" outlineLevel="0" collapsed="false">
      <c r="B11" s="21" t="s">
        <v>24</v>
      </c>
      <c r="C11" s="114" t="s">
        <v>28</v>
      </c>
      <c r="D11" s="114"/>
      <c r="E11" s="114"/>
      <c r="F11" s="67" t="n">
        <f aca="false">NUMERO_MESES_EXEC_CONTRATUAL</f>
        <v>12</v>
      </c>
    </row>
    <row r="12" s="3" customFormat="true" ht="16.5" hidden="false" customHeight="false" outlineLevel="0" collapsed="false">
      <c r="B12" s="21" t="s">
        <v>27</v>
      </c>
      <c r="C12" s="138" t="s">
        <v>251</v>
      </c>
      <c r="D12" s="138"/>
      <c r="E12" s="138"/>
      <c r="F12" s="26" t="n">
        <v>1</v>
      </c>
    </row>
    <row r="13" s="139" customFormat="true" ht="15" hidden="false" customHeight="true" outlineLevel="0" collapsed="false">
      <c r="B13" s="140" t="s">
        <v>49</v>
      </c>
      <c r="C13" s="141"/>
      <c r="D13" s="141"/>
      <c r="E13" s="141"/>
      <c r="F13" s="141"/>
    </row>
    <row r="14" s="3" customFormat="true" ht="16.5" hidden="false" customHeight="false" outlineLevel="0" collapsed="false">
      <c r="B14" s="19" t="n">
        <v>1</v>
      </c>
      <c r="C14" s="8" t="s">
        <v>43</v>
      </c>
      <c r="D14" s="8"/>
      <c r="E14" s="26" t="str">
        <f aca="false">TIPO_DE_SERVICO</f>
        <v>Limpeza e Conservação</v>
      </c>
      <c r="F14" s="26"/>
    </row>
    <row r="15" s="13" customFormat="true" ht="16.5" hidden="false" customHeight="false" outlineLevel="0" collapsed="false">
      <c r="B15" s="19" t="n">
        <v>2</v>
      </c>
      <c r="C15" s="39" t="s">
        <v>45</v>
      </c>
      <c r="D15" s="142" t="str">
        <f aca="false">CBO</f>
        <v>5143-20</v>
      </c>
      <c r="E15" s="142"/>
      <c r="F15" s="142"/>
    </row>
    <row r="16" s="3" customFormat="true" ht="15" hidden="false" customHeight="true" outlineLevel="0" collapsed="false">
      <c r="B16" s="19" t="n">
        <v>3</v>
      </c>
      <c r="C16" s="143" t="s">
        <v>231</v>
      </c>
      <c r="D16" s="132" t="str">
        <f aca="false">'INSERÇÃO-DE-DADOS_MÃO DE OBRA'!C21</f>
        <v>Servente Unidades do interior</v>
      </c>
      <c r="E16" s="132"/>
      <c r="F16" s="132"/>
    </row>
    <row r="17" s="3" customFormat="true" ht="15" hidden="false" customHeight="true" outlineLevel="0" collapsed="false">
      <c r="B17" s="19" t="n">
        <v>4</v>
      </c>
      <c r="C17" s="10" t="s">
        <v>47</v>
      </c>
      <c r="D17" s="10"/>
      <c r="E17" s="10"/>
      <c r="F17" s="179" t="n">
        <f aca="false">DATA_BASE_CATEGORIA</f>
        <v>44562</v>
      </c>
    </row>
    <row r="18" s="146" customFormat="true" ht="20.25" hidden="false" customHeight="true" outlineLevel="0" collapsed="false">
      <c r="B18" s="147" t="s">
        <v>232</v>
      </c>
      <c r="C18" s="147"/>
      <c r="D18" s="147"/>
      <c r="E18" s="147"/>
      <c r="F18" s="147"/>
    </row>
    <row r="19" customFormat="false" ht="16.5" hidden="false" customHeight="false" outlineLevel="0" collapsed="false">
      <c r="B19" s="46" t="s">
        <v>50</v>
      </c>
      <c r="E19" s="47"/>
      <c r="F19" s="47"/>
    </row>
    <row r="20" customFormat="false" ht="16.5" hidden="false" customHeight="true" outlineLevel="0" collapsed="false">
      <c r="B20" s="21" t="n">
        <v>1</v>
      </c>
      <c r="C20" s="48" t="s">
        <v>51</v>
      </c>
      <c r="D20" s="48"/>
      <c r="E20" s="48"/>
      <c r="F20" s="49" t="s">
        <v>104</v>
      </c>
    </row>
    <row r="21" customFormat="false" ht="16.5" hidden="false" customHeight="true" outlineLevel="0" collapsed="false">
      <c r="B21" s="21" t="s">
        <v>17</v>
      </c>
      <c r="C21" s="79" t="s">
        <v>233</v>
      </c>
      <c r="D21" s="79"/>
      <c r="E21" s="79"/>
      <c r="F21" s="148" t="n">
        <f aca="false">SALARIO_NORMATIVO_SERV</f>
        <v>1217</v>
      </c>
    </row>
    <row r="22" s="1" customFormat="true" ht="16.5" hidden="false" customHeight="true" outlineLevel="0" collapsed="false">
      <c r="B22" s="21" t="s">
        <v>19</v>
      </c>
      <c r="C22" s="25" t="s">
        <v>234</v>
      </c>
      <c r="D22" s="25"/>
      <c r="E22" s="25"/>
      <c r="F22" s="149" t="n">
        <f aca="false">IF(ADIC_INSALUB_SERV="SIM",PERC_ADIC_INSALUB%*SAL_MINIMO,0)</f>
        <v>0</v>
      </c>
    </row>
    <row r="23" customFormat="false" ht="16.5" hidden="false" customHeight="false" outlineLevel="0" collapsed="false">
      <c r="B23" s="21" t="s">
        <v>21</v>
      </c>
      <c r="C23" s="79" t="str">
        <f aca="false">OUTROS_REMUNERACAO_1_DESCRICAO</f>
        <v>Gratificação de função (Apenas para encarregada)</v>
      </c>
      <c r="D23" s="79"/>
      <c r="E23" s="79"/>
      <c r="F23" s="148" t="n">
        <f aca="false">OUTROS_REMUNERACAO_1-'INSERÇÃO-DE-DADOS_MÃO DE OBRA'!F33</f>
        <v>0</v>
      </c>
    </row>
    <row r="24" customFormat="false" ht="15.75" hidden="false" customHeight="true" outlineLevel="0" collapsed="false">
      <c r="B24" s="21" t="s">
        <v>24</v>
      </c>
      <c r="C24" s="50" t="str">
        <f aca="false">OUTROS_REMUNERACAO_2_DESCRICAO</f>
        <v>Outras Remunerações 2 (Especificar)</v>
      </c>
      <c r="D24" s="50"/>
      <c r="E24" s="50"/>
      <c r="F24" s="149" t="n">
        <f aca="false">OUTROS_REMUNERACAO_2</f>
        <v>0</v>
      </c>
    </row>
    <row r="25" customFormat="false" ht="15.75" hidden="false" customHeight="true" outlineLevel="0" collapsed="false">
      <c r="B25" s="21" t="s">
        <v>27</v>
      </c>
      <c r="C25" s="79" t="str">
        <f aca="false">OUTROS_REMUNERACAO_3_DESCRICAO</f>
        <v>Outras Remunerações 3 (Especificar)</v>
      </c>
      <c r="D25" s="79"/>
      <c r="E25" s="79"/>
      <c r="F25" s="148" t="n">
        <f aca="false">OUTROS_REMUNERACAO_3</f>
        <v>0</v>
      </c>
    </row>
    <row r="26" customFormat="false" ht="15.75" hidden="false" customHeight="true" outlineLevel="0" collapsed="false">
      <c r="B26" s="48" t="s">
        <v>63</v>
      </c>
      <c r="C26" s="48"/>
      <c r="D26" s="48"/>
      <c r="E26" s="48"/>
      <c r="F26" s="150" t="n">
        <f aca="false">SUM(F21:F25)</f>
        <v>1217</v>
      </c>
      <c r="L26" s="177"/>
      <c r="M26" s="177"/>
    </row>
    <row r="27" customFormat="false" ht="16.5" hidden="false" customHeight="false" outlineLevel="0" collapsed="false">
      <c r="B27" s="46" t="s">
        <v>57</v>
      </c>
      <c r="E27" s="56"/>
      <c r="F27" s="56"/>
      <c r="L27" s="177"/>
      <c r="M27" s="177"/>
    </row>
    <row r="28" customFormat="false" ht="16.5" hidden="false" customHeight="false" outlineLevel="0" collapsed="false">
      <c r="B28" s="46" t="s">
        <v>192</v>
      </c>
      <c r="C28" s="74"/>
      <c r="D28" s="75"/>
      <c r="E28" s="76"/>
      <c r="F28" s="76"/>
      <c r="L28" s="177"/>
      <c r="M28" s="177"/>
      <c r="N28" s="180"/>
    </row>
    <row r="29" customFormat="false" ht="16.5" hidden="false" customHeight="false" outlineLevel="0" collapsed="false">
      <c r="B29" s="21" t="s">
        <v>193</v>
      </c>
      <c r="C29" s="61" t="s">
        <v>194</v>
      </c>
      <c r="D29" s="61"/>
      <c r="E29" s="49" t="s">
        <v>92</v>
      </c>
      <c r="F29" s="49" t="s">
        <v>104</v>
      </c>
      <c r="L29" s="177"/>
      <c r="M29" s="177"/>
      <c r="N29" s="180"/>
    </row>
    <row r="30" customFormat="false" ht="16.5" hidden="false" customHeight="true" outlineLevel="0" collapsed="false">
      <c r="B30" s="21" t="s">
        <v>17</v>
      </c>
      <c r="C30" s="59" t="s">
        <v>196</v>
      </c>
      <c r="D30" s="59"/>
      <c r="E30" s="117" t="n">
        <f aca="false">PERC_DEC_TERC</f>
        <v>8.33333333333333</v>
      </c>
      <c r="F30" s="113" t="n">
        <f aca="false">PERC_DEC_TERC%*MOD_1_REMUNERACAO_SERV</f>
        <v>101.416666666667</v>
      </c>
      <c r="L30" s="177"/>
      <c r="M30" s="177"/>
      <c r="N30" s="180"/>
    </row>
    <row r="31" customFormat="false" ht="16.5" hidden="false" customHeight="true" outlineLevel="0" collapsed="false">
      <c r="B31" s="49" t="s">
        <v>19</v>
      </c>
      <c r="C31" s="25" t="s">
        <v>198</v>
      </c>
      <c r="D31" s="25"/>
      <c r="E31" s="119" t="n">
        <f aca="false">PERC_ADIC_FERIAS</f>
        <v>2.77777777777778</v>
      </c>
      <c r="F31" s="115" t="n">
        <f aca="false">PERC_ADIC_FERIAS%*MOD_1_REMUNERACAO_SERV</f>
        <v>33.8055555555556</v>
      </c>
      <c r="L31" s="177"/>
      <c r="M31" s="177"/>
      <c r="N31" s="180"/>
    </row>
    <row r="32" customFormat="false" ht="16.5" hidden="false" customHeight="false" outlineLevel="0" collapsed="false">
      <c r="B32" s="61" t="s">
        <v>63</v>
      </c>
      <c r="C32" s="61"/>
      <c r="D32" s="61"/>
      <c r="E32" s="61"/>
      <c r="F32" s="62" t="n">
        <f aca="false">SUM(F30:F31)</f>
        <v>135.222222222222</v>
      </c>
      <c r="L32" s="177"/>
      <c r="M32" s="177"/>
    </row>
    <row r="33" customFormat="false" ht="31.7" hidden="false" customHeight="true" outlineLevel="0" collapsed="false">
      <c r="B33" s="151" t="s">
        <v>58</v>
      </c>
      <c r="C33" s="151"/>
      <c r="D33" s="151"/>
      <c r="E33" s="151"/>
      <c r="F33" s="151"/>
      <c r="L33" s="177"/>
      <c r="M33" s="177"/>
    </row>
    <row r="34" customFormat="false" ht="31.7" hidden="false" customHeight="true" outlineLevel="0" collapsed="false">
      <c r="B34" s="21" t="s">
        <v>59</v>
      </c>
      <c r="C34" s="58" t="s">
        <v>60</v>
      </c>
      <c r="D34" s="58"/>
      <c r="E34" s="49" t="s">
        <v>92</v>
      </c>
      <c r="F34" s="49" t="s">
        <v>104</v>
      </c>
      <c r="L34" s="177"/>
      <c r="M34" s="177"/>
    </row>
    <row r="35" s="118" customFormat="true" ht="16.5" hidden="false" customHeight="true" outlineLevel="0" collapsed="false">
      <c r="B35" s="21" t="s">
        <v>17</v>
      </c>
      <c r="C35" s="59" t="s">
        <v>200</v>
      </c>
      <c r="D35" s="59"/>
      <c r="E35" s="117" t="n">
        <f aca="false">PERC_INSS</f>
        <v>20</v>
      </c>
      <c r="F35" s="113" t="n">
        <f aca="false">PERC_INSS%*(MOD_1_REMUNERACAO_SERV+SUBMOD_2_1_DEC_TERC_ADIC_FERIAS_SERV)</f>
        <v>270.444444444444</v>
      </c>
      <c r="H35" s="177"/>
      <c r="I35" s="177"/>
      <c r="J35" s="177"/>
      <c r="K35" s="177"/>
      <c r="L35" s="177"/>
      <c r="M35" s="177"/>
      <c r="N35" s="178"/>
    </row>
    <row r="36" s="54" customFormat="true" ht="16.5" hidden="false" customHeight="true" outlineLevel="0" collapsed="false">
      <c r="B36" s="49" t="s">
        <v>19</v>
      </c>
      <c r="C36" s="25" t="s">
        <v>201</v>
      </c>
      <c r="D36" s="25"/>
      <c r="E36" s="126" t="n">
        <f aca="false">PERC_SAL_EDUCACAO</f>
        <v>2.5</v>
      </c>
      <c r="F36" s="115" t="n">
        <f aca="false">PERC_SAL_EDUCACAO%*(MOD_1_REMUNERACAO_SERV+SUBMOD_2_1_DEC_TERC_ADIC_FERIAS_SERV)</f>
        <v>33.8055555555556</v>
      </c>
      <c r="H36" s="177"/>
      <c r="I36" s="177"/>
      <c r="J36" s="177"/>
      <c r="K36" s="177"/>
      <c r="L36" s="177"/>
      <c r="M36" s="177"/>
      <c r="N36" s="178"/>
    </row>
    <row r="37" s="54" customFormat="true" ht="16.5" hidden="false" customHeight="true" outlineLevel="0" collapsed="false">
      <c r="B37" s="49" t="s">
        <v>21</v>
      </c>
      <c r="C37" s="59" t="s">
        <v>235</v>
      </c>
      <c r="D37" s="59"/>
      <c r="E37" s="117" t="n">
        <f aca="false">PERC_RAT</f>
        <v>3</v>
      </c>
      <c r="F37" s="113" t="n">
        <f aca="false">PERC_RAT%*(MOD_1_REMUNERACAO_SERV+SUBMOD_2_1_DEC_TERC_ADIC_FERIAS_SERV)</f>
        <v>40.5666666666667</v>
      </c>
      <c r="H37" s="177"/>
      <c r="I37" s="177"/>
      <c r="J37" s="177"/>
      <c r="K37" s="177"/>
      <c r="L37" s="177"/>
      <c r="M37" s="177"/>
      <c r="N37" s="178"/>
    </row>
    <row r="38" s="54" customFormat="true" ht="16.5" hidden="false" customHeight="true" outlineLevel="0" collapsed="false">
      <c r="B38" s="49" t="s">
        <v>24</v>
      </c>
      <c r="C38" s="25" t="s">
        <v>203</v>
      </c>
      <c r="D38" s="25"/>
      <c r="E38" s="119" t="n">
        <f aca="false">PERC_SESC</f>
        <v>1.5</v>
      </c>
      <c r="F38" s="115" t="n">
        <f aca="false">PERC_SESC%*(MOD_1_REMUNERACAO_SERV+SUBMOD_2_1_DEC_TERC_ADIC_FERIAS_SERV)</f>
        <v>20.2833333333333</v>
      </c>
      <c r="H38" s="177"/>
      <c r="I38" s="177"/>
      <c r="J38" s="177"/>
      <c r="K38" s="177"/>
      <c r="L38" s="177"/>
      <c r="M38" s="177"/>
      <c r="N38" s="178"/>
    </row>
    <row r="39" customFormat="false" ht="16.5" hidden="false" customHeight="true" outlineLevel="0" collapsed="false">
      <c r="B39" s="49" t="s">
        <v>27</v>
      </c>
      <c r="C39" s="59" t="s">
        <v>204</v>
      </c>
      <c r="D39" s="59"/>
      <c r="E39" s="117" t="n">
        <f aca="false">PERC_SENAC</f>
        <v>1</v>
      </c>
      <c r="F39" s="113" t="n">
        <f aca="false">PERC_SENAC%*(MOD_1_REMUNERACAO_SERV+SUBMOD_2_1_DEC_TERC_ADIC_FERIAS_SERV)</f>
        <v>13.5222222222222</v>
      </c>
      <c r="L39" s="177"/>
      <c r="M39" s="177"/>
    </row>
    <row r="40" s="3" customFormat="true" ht="16.5" hidden="false" customHeight="true" outlineLevel="0" collapsed="false">
      <c r="B40" s="49" t="s">
        <v>86</v>
      </c>
      <c r="C40" s="25" t="s">
        <v>205</v>
      </c>
      <c r="D40" s="25"/>
      <c r="E40" s="126" t="n">
        <f aca="false">PERC_SEBRAE</f>
        <v>0.6</v>
      </c>
      <c r="F40" s="115" t="n">
        <f aca="false">PERC_SEBRAE%*(MOD_1_REMUNERACAO_SERV+SUBMOD_2_1_DEC_TERC_ADIC_FERIAS_SERV)</f>
        <v>8.11333333333334</v>
      </c>
      <c r="H40" s="178"/>
      <c r="I40" s="178"/>
      <c r="J40" s="178"/>
      <c r="K40" s="178"/>
      <c r="L40" s="178"/>
      <c r="M40" s="178"/>
      <c r="N40" s="178"/>
    </row>
    <row r="41" s="3" customFormat="true" ht="16.5" hidden="false" customHeight="true" outlineLevel="0" collapsed="false">
      <c r="B41" s="49" t="s">
        <v>167</v>
      </c>
      <c r="C41" s="59" t="s">
        <v>206</v>
      </c>
      <c r="D41" s="59"/>
      <c r="E41" s="117" t="n">
        <f aca="false">PERC_INCRA</f>
        <v>0.2</v>
      </c>
      <c r="F41" s="113" t="n">
        <f aca="false">PERC_INCRA%*(MOD_1_REMUNERACAO_SERV+SUBMOD_2_1_DEC_TERC_ADIC_FERIAS_SERV)</f>
        <v>2.70444444444444</v>
      </c>
      <c r="H41" s="178"/>
      <c r="I41" s="178"/>
      <c r="J41" s="178"/>
      <c r="K41" s="178"/>
      <c r="L41" s="178"/>
      <c r="M41" s="178"/>
      <c r="N41" s="178"/>
    </row>
    <row r="42" s="3" customFormat="true" ht="16.5" hidden="false" customHeight="true" outlineLevel="0" collapsed="false">
      <c r="B42" s="49" t="s">
        <v>169</v>
      </c>
      <c r="C42" s="25" t="s">
        <v>207</v>
      </c>
      <c r="D42" s="25"/>
      <c r="E42" s="126" t="n">
        <f aca="false">PERC_FGTS</f>
        <v>8</v>
      </c>
      <c r="F42" s="115" t="n">
        <f aca="false">PERC_FGTS%*(MOD_1_REMUNERACAO_SERV+SUBMOD_2_1_DEC_TERC_ADIC_FERIAS_SERV)</f>
        <v>108.177777777778</v>
      </c>
      <c r="H42" s="178"/>
      <c r="I42" s="178"/>
      <c r="J42" s="178"/>
      <c r="K42" s="178"/>
      <c r="L42" s="178"/>
      <c r="M42" s="178"/>
      <c r="N42" s="178"/>
    </row>
    <row r="43" s="3" customFormat="true" ht="16.5" hidden="false" customHeight="false" outlineLevel="0" collapsed="false">
      <c r="B43" s="61" t="s">
        <v>63</v>
      </c>
      <c r="C43" s="61"/>
      <c r="D43" s="61"/>
      <c r="E43" s="61"/>
      <c r="F43" s="152" t="n">
        <f aca="false">SUM(F35:F42)</f>
        <v>497.617777777778</v>
      </c>
      <c r="H43" s="178"/>
      <c r="I43" s="178"/>
      <c r="J43" s="178"/>
      <c r="K43" s="178"/>
      <c r="L43" s="178"/>
      <c r="M43" s="178"/>
      <c r="N43" s="178"/>
    </row>
    <row r="44" s="13" customFormat="true" ht="16.5" hidden="false" customHeight="false" outlineLevel="0" collapsed="false">
      <c r="B44" s="46" t="s">
        <v>65</v>
      </c>
      <c r="H44" s="178"/>
      <c r="I44" s="178"/>
      <c r="J44" s="178"/>
      <c r="K44" s="178"/>
      <c r="L44" s="178"/>
      <c r="M44" s="178"/>
      <c r="N44" s="178"/>
    </row>
    <row r="45" s="13" customFormat="true" ht="16.5" hidden="false" customHeight="true" outlineLevel="0" collapsed="false">
      <c r="B45" s="21" t="s">
        <v>66</v>
      </c>
      <c r="C45" s="48" t="s">
        <v>67</v>
      </c>
      <c r="D45" s="48"/>
      <c r="E45" s="48"/>
      <c r="F45" s="49" t="s">
        <v>104</v>
      </c>
      <c r="H45" s="181"/>
      <c r="I45" s="181"/>
      <c r="J45" s="181"/>
      <c r="K45" s="181"/>
      <c r="L45" s="181"/>
      <c r="M45" s="181"/>
      <c r="N45" s="181"/>
    </row>
    <row r="46" customFormat="false" ht="16.5" hidden="false" customHeight="true" outlineLevel="0" collapsed="false">
      <c r="B46" s="19" t="s">
        <v>17</v>
      </c>
      <c r="C46" s="59" t="s">
        <v>70</v>
      </c>
      <c r="D46" s="59"/>
      <c r="E46" s="59"/>
      <c r="F46" s="113" t="n">
        <f aca="false">IF(DIAS_TRABALHADOS_NO_MES=15,(TRANSPORTE_POR_DIA*DIAS_TRABALHADOS_NO_MES)-(PERC_DESC_TRANSP_REMUNERACAO%*(AL_1_A_SAL_BASE_SERV/2)),IF(DIAS_TRABALHADOS_NO_MES=22,('INSERÇÃO-DE-DADOS_MÃO DE OBRA'!F48*DIAS_TRABALHADOS_NO_MES)-(PERC_DESC_TRANSP_REMUNERACAO%*(AL_1_A_SAL_BASE_SERV))))</f>
        <v>102.98</v>
      </c>
      <c r="H46" s="181"/>
      <c r="I46" s="181"/>
      <c r="J46" s="181"/>
      <c r="K46" s="181"/>
      <c r="L46" s="181"/>
      <c r="M46" s="181"/>
      <c r="N46" s="181"/>
    </row>
    <row r="47" customFormat="false" ht="16.5" hidden="false" customHeight="true" outlineLevel="0" collapsed="false">
      <c r="B47" s="19" t="s">
        <v>19</v>
      </c>
      <c r="C47" s="25" t="s">
        <v>80</v>
      </c>
      <c r="D47" s="25"/>
      <c r="E47" s="25"/>
      <c r="F47" s="115" t="n">
        <f aca="false">ALIMENTACAO_POR_DIA*DIAS_TRABALHADOS_NO_MES</f>
        <v>272.25</v>
      </c>
      <c r="H47" s="181"/>
      <c r="I47" s="181"/>
      <c r="J47" s="181"/>
      <c r="K47" s="181"/>
      <c r="L47" s="181"/>
      <c r="M47" s="181"/>
      <c r="N47" s="181"/>
    </row>
    <row r="48" customFormat="false" ht="15.75" hidden="false" customHeight="true" outlineLevel="0" collapsed="false">
      <c r="B48" s="19" t="s">
        <v>21</v>
      </c>
      <c r="C48" s="79" t="str">
        <f aca="false">OUTROS_BENEFICIOS_1_DESCRICAO</f>
        <v>Outros benefícios (Especificar)</v>
      </c>
      <c r="D48" s="79"/>
      <c r="E48" s="79"/>
      <c r="F48" s="113" t="n">
        <f aca="false">OUTROS_BENEFICIOS_1</f>
        <v>0</v>
      </c>
      <c r="H48" s="181"/>
      <c r="I48" s="181"/>
      <c r="J48" s="181"/>
      <c r="K48" s="181"/>
      <c r="L48" s="181"/>
      <c r="M48" s="181"/>
      <c r="N48" s="181"/>
    </row>
    <row r="49" customFormat="false" ht="15.75" hidden="false" customHeight="true" outlineLevel="0" collapsed="false">
      <c r="B49" s="19" t="s">
        <v>24</v>
      </c>
      <c r="C49" s="50" t="str">
        <f aca="false">OUTROS_BENEFICIOS_2_DESCRICAO</f>
        <v>Outros benefícios (Especificar)</v>
      </c>
      <c r="D49" s="50"/>
      <c r="E49" s="50"/>
      <c r="F49" s="115" t="n">
        <f aca="false">OUTROS_BENEFICIOS_2</f>
        <v>0</v>
      </c>
      <c r="L49" s="177"/>
      <c r="M49" s="177"/>
      <c r="N49" s="182"/>
    </row>
    <row r="50" customFormat="false" ht="16.5" hidden="false" customHeight="false" outlineLevel="0" collapsed="false">
      <c r="B50" s="19" t="s">
        <v>27</v>
      </c>
      <c r="C50" s="79" t="str">
        <f aca="false">OUTROS_BENEFICIOS_3_DESCRICAO</f>
        <v>Outros benefícios (Especificar)</v>
      </c>
      <c r="D50" s="79"/>
      <c r="E50" s="79"/>
      <c r="F50" s="113" t="n">
        <f aca="false">OUTROS_BENEFICIOS_3</f>
        <v>0</v>
      </c>
      <c r="L50" s="177"/>
      <c r="M50" s="177"/>
      <c r="N50" s="182"/>
    </row>
    <row r="51" s="54" customFormat="true" ht="16.5" hidden="false" customHeight="true" outlineLevel="0" collapsed="false">
      <c r="B51" s="48" t="s">
        <v>63</v>
      </c>
      <c r="C51" s="48"/>
      <c r="D51" s="48"/>
      <c r="E51" s="48"/>
      <c r="F51" s="150" t="n">
        <f aca="false">SUM(F46:F50)</f>
        <v>375.23</v>
      </c>
      <c r="H51" s="177"/>
      <c r="I51" s="177"/>
      <c r="J51" s="177"/>
      <c r="K51" s="177"/>
      <c r="L51" s="177"/>
      <c r="M51" s="177"/>
      <c r="N51" s="182"/>
    </row>
    <row r="52" s="54" customFormat="true" ht="16.5" hidden="false" customHeight="false" outlineLevel="0" collapsed="false">
      <c r="B52" s="46" t="s">
        <v>173</v>
      </c>
      <c r="C52" s="74"/>
      <c r="D52" s="75"/>
      <c r="E52" s="76"/>
      <c r="F52" s="76"/>
      <c r="H52" s="177"/>
      <c r="I52" s="177"/>
      <c r="J52" s="177"/>
      <c r="K52" s="177"/>
      <c r="L52" s="177"/>
      <c r="M52" s="177"/>
      <c r="N52" s="178"/>
    </row>
    <row r="53" s="54" customFormat="true" ht="16.5" hidden="false" customHeight="false" outlineLevel="0" collapsed="false">
      <c r="B53" s="21" t="n">
        <v>3</v>
      </c>
      <c r="C53" s="61" t="s">
        <v>174</v>
      </c>
      <c r="D53" s="61"/>
      <c r="E53" s="49" t="s">
        <v>92</v>
      </c>
      <c r="F53" s="49" t="s">
        <v>104</v>
      </c>
      <c r="H53" s="177"/>
      <c r="I53" s="177"/>
      <c r="J53" s="177"/>
      <c r="K53" s="177"/>
      <c r="L53" s="177"/>
      <c r="M53" s="177"/>
      <c r="N53" s="178"/>
    </row>
    <row r="54" s="54" customFormat="true" ht="16.5" hidden="false" customHeight="false" outlineLevel="0" collapsed="false">
      <c r="B54" s="21" t="s">
        <v>17</v>
      </c>
      <c r="C54" s="124" t="s">
        <v>208</v>
      </c>
      <c r="D54" s="124"/>
      <c r="E54" s="117" t="n">
        <f aca="false">PERC_AVISO_PREVIO_IND</f>
        <v>0.26011</v>
      </c>
      <c r="F54" s="113" t="n">
        <f aca="false">PERC_AVISO_PREVIO_IND%*(MOD_1_REMUNERACAO_SERV+SUBMOD_2_1_DEC_TERC_ADIC_FERIAS_SERV+AL_2_2_FGTS_SERV+SUBMOD_2_3_BENEFICIOS_SERV)</f>
        <v>4.774657193</v>
      </c>
      <c r="H54" s="177"/>
      <c r="I54" s="177"/>
      <c r="J54" s="177"/>
      <c r="K54" s="177"/>
      <c r="L54" s="177"/>
      <c r="M54" s="177"/>
      <c r="N54" s="178"/>
    </row>
    <row r="55" s="54" customFormat="true" ht="15" hidden="false" customHeight="true" outlineLevel="0" collapsed="false">
      <c r="B55" s="49" t="s">
        <v>19</v>
      </c>
      <c r="C55" s="125" t="s">
        <v>210</v>
      </c>
      <c r="D55" s="125"/>
      <c r="E55" s="126" t="n">
        <f aca="false">PERC_AVISO_PREVIO_TRAB</f>
        <v>1.03286322222222</v>
      </c>
      <c r="F55" s="115" t="n">
        <f aca="false">PERC_AVISO_PREVIO_TRAB%*(MOD_1_REMUNERACAO_SERV+SUBMOD_2_1_DEC_TERC_ADIC_FERIAS_SERV+SUBMOD_2_2_GPS_FGTS_SERV+SUBMOD_2_3_BENEFICIOS_SERV)</f>
        <v>22.9819296986999</v>
      </c>
      <c r="H55" s="177"/>
      <c r="I55" s="177"/>
      <c r="J55" s="177"/>
      <c r="K55" s="177"/>
      <c r="L55" s="177"/>
      <c r="M55" s="177"/>
      <c r="N55" s="178"/>
    </row>
    <row r="56" s="54" customFormat="true" ht="22.35" hidden="false" customHeight="true" outlineLevel="0" collapsed="false">
      <c r="B56" s="49" t="s">
        <v>21</v>
      </c>
      <c r="C56" s="124" t="s">
        <v>212</v>
      </c>
      <c r="D56" s="124"/>
      <c r="E56" s="117" t="n">
        <f aca="false">PERC_MULTA_FGTS_AV_PREV_TRAB</f>
        <v>0.04</v>
      </c>
      <c r="F56" s="113" t="n">
        <f aca="false">PERC_MULTA_FGTS_AV_PREV_TRAB%*(MOD_1_REMUNERACAO_SERV+SUBMOD_2_1_DEC_TERC_ADIC_FERIAS_SERV)</f>
        <v>0.540888888888889</v>
      </c>
      <c r="H56" s="177"/>
      <c r="I56" s="177"/>
      <c r="J56" s="177"/>
      <c r="K56" s="177"/>
      <c r="L56" s="177"/>
      <c r="M56" s="177"/>
      <c r="N56" s="178"/>
    </row>
    <row r="57" s="3" customFormat="true" ht="16.5" hidden="false" customHeight="false" outlineLevel="0" collapsed="false">
      <c r="B57" s="61" t="s">
        <v>63</v>
      </c>
      <c r="C57" s="61"/>
      <c r="D57" s="61"/>
      <c r="E57" s="61"/>
      <c r="F57" s="62" t="n">
        <f aca="false">SUM(F54:F56)</f>
        <v>28.2974757805888</v>
      </c>
      <c r="H57" s="177"/>
      <c r="I57" s="177"/>
      <c r="J57" s="177"/>
      <c r="K57" s="177"/>
      <c r="L57" s="177"/>
      <c r="M57" s="177"/>
      <c r="N57" s="178"/>
    </row>
    <row r="58" s="3" customFormat="true" ht="16.5" hidden="false" customHeight="false" outlineLevel="0" collapsed="false">
      <c r="B58" s="46" t="s">
        <v>88</v>
      </c>
      <c r="C58" s="74"/>
      <c r="D58" s="75"/>
      <c r="E58" s="1"/>
      <c r="F58" s="1"/>
      <c r="H58" s="177"/>
      <c r="I58" s="177"/>
      <c r="J58" s="177"/>
      <c r="K58" s="177"/>
      <c r="L58" s="177"/>
      <c r="M58" s="177"/>
      <c r="N58" s="178"/>
    </row>
    <row r="59" s="3" customFormat="true" ht="16.5" hidden="false" customHeight="false" outlineLevel="0" collapsed="false">
      <c r="B59" s="46" t="s">
        <v>89</v>
      </c>
      <c r="C59" s="74"/>
      <c r="D59" s="75"/>
      <c r="E59" s="76"/>
      <c r="F59" s="76"/>
      <c r="H59" s="183"/>
      <c r="I59" s="183"/>
      <c r="J59" s="183"/>
      <c r="K59" s="183"/>
      <c r="L59" s="177"/>
      <c r="M59" s="177"/>
      <c r="N59" s="178"/>
    </row>
    <row r="60" s="3" customFormat="true" ht="16.5" hidden="false" customHeight="true" outlineLevel="0" collapsed="false">
      <c r="B60" s="21" t="s">
        <v>90</v>
      </c>
      <c r="C60" s="48" t="s">
        <v>91</v>
      </c>
      <c r="D60" s="48"/>
      <c r="E60" s="49" t="s">
        <v>92</v>
      </c>
      <c r="F60" s="49" t="s">
        <v>104</v>
      </c>
      <c r="H60" s="183"/>
      <c r="I60" s="183"/>
      <c r="J60" s="183"/>
      <c r="K60" s="183"/>
      <c r="L60" s="177"/>
      <c r="M60" s="177"/>
      <c r="N60" s="178"/>
    </row>
    <row r="61" customFormat="false" ht="16.5" hidden="false" customHeight="true" outlineLevel="0" collapsed="false">
      <c r="B61" s="49" t="s">
        <v>17</v>
      </c>
      <c r="C61" s="59" t="s">
        <v>214</v>
      </c>
      <c r="D61" s="59"/>
      <c r="E61" s="117" t="n">
        <f aca="false">PERC_SUBSTITUTO_FERIAS</f>
        <v>8.33333333333333</v>
      </c>
      <c r="F61" s="113" t="n">
        <f aca="false">PERC_SUBSTITUTO_FERIAS%*(MOD_1_REMUNERACAO_SERV+MOD_2_ENCARGOS_BENEFICIOS_SERV+MOD_3_PROVISAO_RESCISAO_SERV)</f>
        <v>187.780622981716</v>
      </c>
      <c r="H61" s="183"/>
      <c r="I61" s="183"/>
      <c r="J61" s="183"/>
      <c r="K61" s="183"/>
      <c r="L61" s="177"/>
      <c r="M61" s="177"/>
    </row>
    <row r="62" s="3" customFormat="true" ht="15.95" hidden="false" customHeight="true" outlineLevel="0" collapsed="false">
      <c r="B62" s="49" t="s">
        <v>19</v>
      </c>
      <c r="C62" s="25" t="s">
        <v>216</v>
      </c>
      <c r="D62" s="25"/>
      <c r="E62" s="126" t="n">
        <f aca="false">PERC_SUBSTITUTO_AUSENCIAS_LEGAIS</f>
        <v>2.22222222222222</v>
      </c>
      <c r="F62" s="115" t="n">
        <f aca="false">PERC_SUBSTITUTO_AUSENCIAS_LEGAIS%*(MOD_1_REMUNERACAO_SERV+MOD_2_ENCARGOS_BENEFICIOS_SERV+MOD_3_PROVISAO_RESCISAO_SERV)</f>
        <v>50.0748327951242</v>
      </c>
      <c r="H62" s="183"/>
      <c r="I62" s="183"/>
      <c r="J62" s="183"/>
      <c r="K62" s="183"/>
      <c r="L62" s="177"/>
      <c r="M62" s="177"/>
      <c r="N62" s="178"/>
    </row>
    <row r="63" s="3" customFormat="true" ht="15.95" hidden="false" customHeight="true" outlineLevel="0" collapsed="false">
      <c r="B63" s="49" t="s">
        <v>21</v>
      </c>
      <c r="C63" s="59" t="s">
        <v>218</v>
      </c>
      <c r="D63" s="59"/>
      <c r="E63" s="117" t="n">
        <f aca="false">PERC_SUBSTITUTO_LICENCA_PATERNIDADE</f>
        <v>0.0356735555555555</v>
      </c>
      <c r="F63" s="113" t="n">
        <f aca="false">PERC_SUBSTITUTO_LICENCA_PATERNIDADE%*(MOD_1_REMUNERACAO_SERV+MOD_2_ENCARGOS_BENEFICIOS_SERV+MOD_3_PROVISAO_RESCISAO_SERV)</f>
        <v>0.803856298343407</v>
      </c>
      <c r="H63" s="183"/>
      <c r="I63" s="183"/>
      <c r="J63" s="183"/>
      <c r="K63" s="183"/>
      <c r="L63" s="177"/>
      <c r="M63" s="177"/>
      <c r="N63" s="183"/>
    </row>
    <row r="64" s="3" customFormat="true" ht="16.5" hidden="false" customHeight="true" outlineLevel="0" collapsed="false">
      <c r="B64" s="49" t="s">
        <v>24</v>
      </c>
      <c r="C64" s="25" t="s">
        <v>220</v>
      </c>
      <c r="D64" s="25"/>
      <c r="E64" s="126" t="n">
        <f aca="false">PERC_SUBSTITUTO_ACID_TRAB</f>
        <v>0.0185302229372558</v>
      </c>
      <c r="F64" s="115" t="n">
        <f aca="false">PERC_SUBSTITUTO_ACID_TRAB%*(MOD_1_REMUNERACAO_SERV+MOD_2_ENCARGOS_BENEFICIOS_SERV+MOD_3_PROVISAO_RESCISAO_SERV)</f>
        <v>0.417554016857757</v>
      </c>
      <c r="H64" s="183"/>
      <c r="I64" s="183"/>
      <c r="J64" s="183"/>
      <c r="K64" s="183"/>
      <c r="L64" s="177"/>
      <c r="M64" s="177"/>
      <c r="N64" s="183"/>
    </row>
    <row r="65" s="3" customFormat="true" ht="15.95" hidden="false" customHeight="true" outlineLevel="0" collapsed="false">
      <c r="B65" s="49" t="s">
        <v>27</v>
      </c>
      <c r="C65" s="59" t="s">
        <v>222</v>
      </c>
      <c r="D65" s="59"/>
      <c r="E65" s="117" t="n">
        <f aca="false">PERC_SUBSTITUTO_AFAST_MATERN</f>
        <v>0.1427260032</v>
      </c>
      <c r="F65" s="113" t="n">
        <f aca="false">PERC_SUBSTITUTO_AFAST_MATERN%*(MOD_1_REMUNERACAO_SERV+MOD_2_ENCARGOS_BENEFICIOS_SERV+MOD_3_PROVISAO_RESCISAO_SERV)</f>
        <v>3.21614133559036</v>
      </c>
      <c r="H65" s="183"/>
      <c r="I65" s="183"/>
      <c r="J65" s="183"/>
      <c r="K65" s="183"/>
      <c r="L65" s="177"/>
      <c r="M65" s="177"/>
      <c r="N65" s="183"/>
    </row>
    <row r="66" s="3" customFormat="true" ht="15.95" hidden="false" customHeight="true" outlineLevel="0" collapsed="false">
      <c r="B66" s="49" t="s">
        <v>86</v>
      </c>
      <c r="C66" s="153" t="str">
        <f aca="false">OUTRAS_AUSENCIAS_DESCRICAO</f>
        <v>Outras Ausências (Especificar em %)</v>
      </c>
      <c r="D66" s="153"/>
      <c r="E66" s="154" t="n">
        <f aca="false">PERC_SUBSTITUTO_OUTRAS_AUSENCIAS</f>
        <v>0</v>
      </c>
      <c r="F66" s="115" t="n">
        <f aca="false">PERC_SUBSTITUTO_OUTRAS_AUSENCIAS%*(MOD_1_REMUNERACAO_SERV+MOD_2_ENCARGOS_BENEFICIOS_SERV+MOD_3_PROVISAO_RESCISAO_SERV)</f>
        <v>0</v>
      </c>
      <c r="H66" s="183"/>
      <c r="I66" s="183"/>
      <c r="J66" s="183"/>
      <c r="K66" s="183"/>
      <c r="L66" s="177"/>
      <c r="M66" s="177"/>
      <c r="N66" s="183"/>
    </row>
    <row r="67" s="3" customFormat="true" ht="15.95" hidden="false" customHeight="true" outlineLevel="0" collapsed="false">
      <c r="B67" s="61" t="s">
        <v>63</v>
      </c>
      <c r="C67" s="61"/>
      <c r="D67" s="61"/>
      <c r="E67" s="61"/>
      <c r="F67" s="62" t="n">
        <f aca="false">SUM(F61:F66)</f>
        <v>242.293007427631</v>
      </c>
      <c r="H67" s="183"/>
      <c r="I67" s="183"/>
      <c r="J67" s="183"/>
      <c r="K67" s="183"/>
      <c r="L67" s="177"/>
      <c r="M67" s="177"/>
      <c r="N67" s="183"/>
    </row>
    <row r="68" s="3" customFormat="true" ht="16.5" hidden="false" customHeight="false" outlineLevel="0" collapsed="false">
      <c r="B68" s="46" t="s">
        <v>94</v>
      </c>
      <c r="C68" s="74"/>
      <c r="D68" s="75"/>
      <c r="E68" s="76"/>
      <c r="F68" s="76"/>
      <c r="H68" s="183"/>
      <c r="I68" s="183"/>
      <c r="J68" s="183"/>
      <c r="K68" s="183"/>
      <c r="L68" s="177"/>
      <c r="M68" s="177"/>
      <c r="N68" s="183"/>
    </row>
    <row r="69" s="3" customFormat="true" ht="16.5" hidden="false" customHeight="false" outlineLevel="0" collapsed="false">
      <c r="B69" s="21" t="s">
        <v>95</v>
      </c>
      <c r="C69" s="61" t="s">
        <v>96</v>
      </c>
      <c r="D69" s="61"/>
      <c r="E69" s="61"/>
      <c r="F69" s="49" t="s">
        <v>104</v>
      </c>
      <c r="H69" s="183"/>
      <c r="I69" s="183"/>
      <c r="J69" s="183"/>
      <c r="K69" s="183"/>
      <c r="L69" s="177"/>
      <c r="M69" s="177"/>
      <c r="N69" s="183"/>
    </row>
    <row r="70" s="3" customFormat="true" ht="16.5" hidden="false" customHeight="true" outlineLevel="0" collapsed="false">
      <c r="B70" s="21" t="s">
        <v>17</v>
      </c>
      <c r="C70" s="59" t="s">
        <v>236</v>
      </c>
      <c r="D70" s="59"/>
      <c r="E70" s="59"/>
      <c r="F70" s="148" t="n">
        <f aca="false">IF(DIAS_TRABALHADOS_NO_MES=15,((MOD_1_REMUNERACAO_SERV+MOD_2_ENCARGOS_BENEFICIOS_SERV+MOD_3_PROVISAO_RESCISAO_SERV)/DIVISOR_DE_HORAS)*((TEMPO_INTERVALO_REFEICAO/HORA_NORMAL)+PERC_HORA_EXTRA%)*DIAS_TRABALHADOS_NO_MES,0)</f>
        <v>0</v>
      </c>
      <c r="H70" s="183"/>
      <c r="I70" s="183"/>
      <c r="J70" s="183"/>
      <c r="K70" s="183"/>
      <c r="L70" s="177"/>
      <c r="M70" s="177"/>
      <c r="N70" s="183"/>
    </row>
    <row r="71" s="3" customFormat="true" ht="16.5" hidden="false" customHeight="false" outlineLevel="0" collapsed="false">
      <c r="B71" s="61" t="s">
        <v>63</v>
      </c>
      <c r="C71" s="61"/>
      <c r="D71" s="61"/>
      <c r="E71" s="61"/>
      <c r="F71" s="62" t="n">
        <f aca="false">SUM(F70)</f>
        <v>0</v>
      </c>
      <c r="H71" s="183"/>
      <c r="I71" s="183"/>
      <c r="J71" s="183"/>
      <c r="K71" s="183"/>
      <c r="L71" s="177"/>
      <c r="M71" s="177"/>
      <c r="N71" s="183"/>
    </row>
    <row r="72" s="3" customFormat="true" ht="16.5" hidden="false" customHeight="false" outlineLevel="0" collapsed="false">
      <c r="B72" s="46" t="s">
        <v>101</v>
      </c>
      <c r="C72" s="74"/>
      <c r="D72" s="74"/>
      <c r="E72" s="76"/>
      <c r="F72" s="76"/>
      <c r="H72" s="183"/>
      <c r="I72" s="183"/>
      <c r="J72" s="183"/>
      <c r="K72" s="183"/>
      <c r="L72" s="177"/>
      <c r="M72" s="177"/>
      <c r="N72" s="183"/>
    </row>
    <row r="73" s="3" customFormat="true" ht="16.5" hidden="false" customHeight="true" outlineLevel="0" collapsed="false">
      <c r="B73" s="80" t="n">
        <v>5</v>
      </c>
      <c r="C73" s="155" t="s">
        <v>103</v>
      </c>
      <c r="D73" s="155"/>
      <c r="E73" s="155"/>
      <c r="F73" s="156" t="s">
        <v>104</v>
      </c>
      <c r="H73" s="177"/>
      <c r="I73" s="177"/>
      <c r="J73" s="177"/>
      <c r="K73" s="177"/>
      <c r="L73" s="177"/>
      <c r="M73" s="177"/>
      <c r="N73" s="183"/>
    </row>
    <row r="74" s="3" customFormat="true" ht="16.5" hidden="false" customHeight="true" outlineLevel="0" collapsed="false">
      <c r="B74" s="157" t="s">
        <v>17</v>
      </c>
      <c r="C74" s="158" t="s">
        <v>237</v>
      </c>
      <c r="D74" s="158"/>
      <c r="E74" s="158"/>
      <c r="F74" s="159" t="n">
        <f aca="false">UNIFORMES!I14</f>
        <v>64.2841666666667</v>
      </c>
      <c r="H74" s="177"/>
      <c r="I74" s="177"/>
      <c r="J74" s="177"/>
      <c r="K74" s="177"/>
      <c r="L74" s="177"/>
      <c r="M74" s="177"/>
      <c r="N74" s="183"/>
    </row>
    <row r="75" customFormat="false" ht="16.5" hidden="false" customHeight="true" outlineLevel="0" collapsed="false">
      <c r="B75" s="157" t="s">
        <v>19</v>
      </c>
      <c r="C75" s="160" t="s">
        <v>238</v>
      </c>
      <c r="D75" s="160"/>
      <c r="E75" s="160"/>
      <c r="F75" s="161" t="n">
        <f aca="false">'MATERIAIS E EQUIPAMENTOS'!K44+'MATERIAIS E EQUIPAMENTOS'!K74</f>
        <v>972.919916666667</v>
      </c>
      <c r="L75" s="177"/>
      <c r="M75" s="177"/>
      <c r="N75" s="183"/>
    </row>
    <row r="76" customFormat="false" ht="16.5" hidden="false" customHeight="true" outlineLevel="0" collapsed="false">
      <c r="B76" s="157" t="s">
        <v>21</v>
      </c>
      <c r="C76" s="158" t="s">
        <v>239</v>
      </c>
      <c r="D76" s="158"/>
      <c r="E76" s="158"/>
      <c r="F76" s="159" t="n">
        <f aca="false">'MATERIAIS E EQUIPAMENTOS'!K96</f>
        <v>27.4301866666667</v>
      </c>
      <c r="L76" s="177"/>
      <c r="M76" s="177"/>
      <c r="N76" s="183"/>
    </row>
    <row r="77" customFormat="false" ht="15.75" hidden="false" customHeight="true" outlineLevel="0" collapsed="false">
      <c r="B77" s="157" t="s">
        <v>24</v>
      </c>
      <c r="C77" s="162" t="str">
        <f aca="false">ENCARREGADO!C77</f>
        <v>Outros Insumos</v>
      </c>
      <c r="D77" s="162"/>
      <c r="E77" s="162"/>
      <c r="F77" s="161"/>
      <c r="L77" s="177"/>
      <c r="M77" s="177"/>
      <c r="N77" s="177"/>
    </row>
    <row r="78" customFormat="false" ht="16.5" hidden="false" customHeight="true" outlineLevel="0" collapsed="false">
      <c r="B78" s="155" t="s">
        <v>63</v>
      </c>
      <c r="C78" s="155"/>
      <c r="D78" s="155"/>
      <c r="E78" s="155"/>
      <c r="F78" s="163" t="n">
        <f aca="false">SUM(F74:F77)</f>
        <v>1064.63427</v>
      </c>
      <c r="L78" s="177"/>
      <c r="M78" s="177"/>
    </row>
    <row r="79" customFormat="false" ht="16.5" hidden="false" customHeight="true" outlineLevel="0" collapsed="false">
      <c r="B79" s="57" t="s">
        <v>105</v>
      </c>
      <c r="C79" s="57"/>
      <c r="D79" s="57"/>
      <c r="E79" s="57"/>
      <c r="F79" s="57"/>
      <c r="L79" s="177"/>
      <c r="M79" s="177"/>
    </row>
    <row r="80" customFormat="false" ht="16.5" hidden="false" customHeight="false" outlineLevel="0" collapsed="false">
      <c r="B80" s="21" t="n">
        <v>6</v>
      </c>
      <c r="C80" s="61" t="s">
        <v>241</v>
      </c>
      <c r="D80" s="61"/>
      <c r="E80" s="49" t="s">
        <v>92</v>
      </c>
      <c r="F80" s="49" t="s">
        <v>104</v>
      </c>
      <c r="L80" s="177"/>
      <c r="M80" s="177"/>
    </row>
    <row r="81" customFormat="false" ht="16.5" hidden="false" customHeight="true" outlineLevel="0" collapsed="false">
      <c r="B81" s="21" t="s">
        <v>17</v>
      </c>
      <c r="C81" s="59" t="s">
        <v>111</v>
      </c>
      <c r="D81" s="59"/>
      <c r="E81" s="164" t="n">
        <f aca="false">'INSERÇÃO-DE-DADOS_MÃO DE OBRA'!F71</f>
        <v>4.73</v>
      </c>
      <c r="F81" s="113" t="n">
        <f aca="false">E81%*(MOD_1_REMUNERACAO_SERV+MOD_2_ENCARGOS_BENEFICIOS_SERV+MOD_3_PROVISAO_RESCISAO_SERV+MOD_4_CUSTO_REPOSICAO_SERV+MOD_5_INSUMOS_SERV)</f>
        <v>168.401941826749</v>
      </c>
      <c r="L81" s="177"/>
      <c r="M81" s="177"/>
    </row>
    <row r="82" customFormat="false" ht="16.5" hidden="false" customHeight="true" outlineLevel="0" collapsed="false">
      <c r="B82" s="49" t="s">
        <v>19</v>
      </c>
      <c r="C82" s="25" t="s">
        <v>112</v>
      </c>
      <c r="D82" s="25"/>
      <c r="E82" s="165" t="n">
        <f aca="false">'INSERÇÃO-DE-DADOS_MÃO DE OBRA'!F72</f>
        <v>5.57</v>
      </c>
      <c r="F82" s="115" t="n">
        <f aca="false">E82%*(MOD_1_REMUNERACAO_SERV+MOD_2_ENCARGOS_BENEFICIOS_SERV+MOD_3_PROVISAO_RESCISAO_SERV+MOD_4_CUSTO_REPOSICAO_SERV+MOD_5_INSUMOS_SERV+AL_6_A_CUSTOS_INDIRETOS_SERV)</f>
        <v>207.688405913448</v>
      </c>
      <c r="L82" s="177"/>
      <c r="M82" s="177"/>
    </row>
    <row r="83" customFormat="false" ht="15" hidden="false" customHeight="true" outlineLevel="0" collapsed="false">
      <c r="B83" s="49" t="s">
        <v>21</v>
      </c>
      <c r="C83" s="59" t="s">
        <v>242</v>
      </c>
      <c r="D83" s="59"/>
      <c r="E83" s="164" t="n">
        <f aca="false">SUM(E84:E86)</f>
        <v>8.65</v>
      </c>
      <c r="F83" s="113" t="n">
        <f aca="false">SUM(F84:F86)</f>
        <v>372.739256958991</v>
      </c>
      <c r="L83" s="177"/>
      <c r="M83" s="177"/>
    </row>
    <row r="84" customFormat="false" ht="16.5" hidden="false" customHeight="true" outlineLevel="0" collapsed="false">
      <c r="B84" s="87" t="s">
        <v>113</v>
      </c>
      <c r="C84" s="166" t="s">
        <v>114</v>
      </c>
      <c r="D84" s="166"/>
      <c r="E84" s="167" t="n">
        <f aca="false">'INSERÇÃO-DE-DADOS_MÃO DE OBRA'!F73</f>
        <v>0.65</v>
      </c>
      <c r="F84" s="168" t="n">
        <f aca="false">((MOD_1_REMUNERACAO_SERV+MOD_2_ENCARGOS_BENEFICIOS_SERV+MOD_3_PROVISAO_RESCISAO_SERV+MOD_4_CUSTO_REPOSICAO_SERV+MOD_5_INSUMOS_SERV+AL_6_A_CUSTOS_INDIRETOS_SERV+AL_6_B_LUCRO_SERV)*E84%)/(1-PERC_TRIBUTOS%)</f>
        <v>28.0093083263981</v>
      </c>
      <c r="L84" s="177"/>
      <c r="M84" s="177"/>
    </row>
    <row r="85" customFormat="false" ht="16.5" hidden="false" customHeight="true" outlineLevel="0" collapsed="false">
      <c r="B85" s="87" t="s">
        <v>115</v>
      </c>
      <c r="C85" s="169" t="s">
        <v>116</v>
      </c>
      <c r="D85" s="169"/>
      <c r="E85" s="170" t="n">
        <f aca="false">'INSERÇÃO-DE-DADOS_MÃO DE OBRA'!F74</f>
        <v>3</v>
      </c>
      <c r="F85" s="171" t="n">
        <f aca="false">((MOD_1_REMUNERACAO_SERV+MOD_2_ENCARGOS_BENEFICIOS_SERV+MOD_3_PROVISAO_RESCISAO_SERV+MOD_4_CUSTO_REPOSICAO_SERV+MOD_5_INSUMOS_SERV+AL_6_A_CUSTOS_INDIRETOS_SERV+AL_6_B_LUCRO_SERV)*E85%)/(1-PERC_TRIBUTOS%)</f>
        <v>129.273730737222</v>
      </c>
      <c r="L85" s="177"/>
      <c r="M85" s="177"/>
    </row>
    <row r="86" customFormat="false" ht="15.75" hidden="false" customHeight="true" outlineLevel="0" collapsed="false">
      <c r="B86" s="87" t="s">
        <v>117</v>
      </c>
      <c r="C86" s="166" t="s">
        <v>118</v>
      </c>
      <c r="D86" s="166"/>
      <c r="E86" s="167" t="n">
        <f aca="false">'INSERÇÃO-DE-DADOS_MÃO DE OBRA'!F75</f>
        <v>5</v>
      </c>
      <c r="F86" s="168" t="n">
        <f aca="false">((MOD_1_REMUNERACAO_SERV+MOD_2_ENCARGOS_BENEFICIOS_SERV+MOD_3_PROVISAO_RESCISAO_SERV+MOD_4_CUSTO_REPOSICAO_SERV+MOD_5_INSUMOS_SERV+AL_6_A_CUSTOS_INDIRETOS_SERV+AL_6_B_LUCRO_SERV)*E86%)/(1-PERC_TRIBUTOS%)</f>
        <v>215.45621789537</v>
      </c>
      <c r="L86" s="177"/>
      <c r="M86" s="177"/>
    </row>
    <row r="87" customFormat="false" ht="16.5" hidden="false" customHeight="false" outlineLevel="0" collapsed="false">
      <c r="B87" s="61" t="s">
        <v>63</v>
      </c>
      <c r="C87" s="61"/>
      <c r="D87" s="61"/>
      <c r="E87" s="61"/>
      <c r="F87" s="172" t="n">
        <f aca="false">AL_6_A_CUSTOS_INDIRETOS_SERV+AL_6_B_LUCRO_SERV+AL_6_C_TRIBUTOS_SERV</f>
        <v>748.829604699187</v>
      </c>
      <c r="L87" s="177"/>
      <c r="M87" s="177"/>
    </row>
    <row r="88" customFormat="false" ht="15.75" hidden="false" customHeight="true" outlineLevel="0" collapsed="false">
      <c r="B88" s="173" t="s">
        <v>243</v>
      </c>
      <c r="C88" s="174"/>
      <c r="D88" s="174"/>
      <c r="E88" s="174"/>
      <c r="F88" s="175"/>
      <c r="L88" s="177"/>
      <c r="M88" s="177"/>
    </row>
    <row r="89" customFormat="false" ht="16.5" hidden="false" customHeight="true" outlineLevel="0" collapsed="false">
      <c r="B89" s="49" t="s">
        <v>244</v>
      </c>
      <c r="C89" s="48" t="s">
        <v>245</v>
      </c>
      <c r="D89" s="48"/>
      <c r="E89" s="48"/>
      <c r="F89" s="49" t="s">
        <v>246</v>
      </c>
      <c r="L89" s="177"/>
      <c r="M89" s="177"/>
    </row>
    <row r="90" s="81" customFormat="true" ht="16.5" hidden="false" customHeight="true" outlineLevel="0" collapsed="false">
      <c r="B90" s="21" t="n">
        <v>1</v>
      </c>
      <c r="C90" s="59" t="s">
        <v>51</v>
      </c>
      <c r="D90" s="59"/>
      <c r="E90" s="59"/>
      <c r="F90" s="113" t="n">
        <f aca="false">MOD_1_REMUNERACAO_SERV</f>
        <v>1217</v>
      </c>
      <c r="G90" s="176"/>
      <c r="H90" s="177"/>
      <c r="I90" s="177"/>
      <c r="J90" s="177"/>
      <c r="K90" s="177"/>
      <c r="L90" s="177"/>
      <c r="M90" s="177"/>
      <c r="N90" s="178"/>
    </row>
    <row r="91" s="81" customFormat="true" ht="16.5" hidden="false" customHeight="true" outlineLevel="0" collapsed="false">
      <c r="B91" s="49" t="n">
        <v>2</v>
      </c>
      <c r="C91" s="25" t="s">
        <v>247</v>
      </c>
      <c r="D91" s="25"/>
      <c r="E91" s="25"/>
      <c r="F91" s="115" t="n">
        <f aca="false">MOD_2_ENCARGOS_BENEFICIOS_SERV</f>
        <v>1008.07</v>
      </c>
      <c r="H91" s="177"/>
      <c r="I91" s="177"/>
      <c r="J91" s="177"/>
      <c r="K91" s="177"/>
      <c r="L91" s="177"/>
      <c r="M91" s="177"/>
      <c r="N91" s="178"/>
    </row>
    <row r="92" s="81" customFormat="true" ht="16.5" hidden="false" customHeight="true" outlineLevel="0" collapsed="false">
      <c r="B92" s="49" t="n">
        <v>3</v>
      </c>
      <c r="C92" s="59" t="s">
        <v>174</v>
      </c>
      <c r="D92" s="59"/>
      <c r="E92" s="59"/>
      <c r="F92" s="113" t="n">
        <f aca="false">MOD_3_PROVISAO_RESCISAO_SERV</f>
        <v>28.2974757805888</v>
      </c>
      <c r="H92" s="177"/>
      <c r="I92" s="177"/>
      <c r="J92" s="177"/>
      <c r="K92" s="177"/>
      <c r="L92" s="177"/>
      <c r="M92" s="177"/>
      <c r="N92" s="178"/>
    </row>
    <row r="93" s="83" customFormat="true" ht="16.5" hidden="false" customHeight="true" outlineLevel="0" collapsed="false">
      <c r="B93" s="49" t="n">
        <v>4</v>
      </c>
      <c r="C93" s="25" t="s">
        <v>248</v>
      </c>
      <c r="D93" s="25"/>
      <c r="E93" s="25"/>
      <c r="F93" s="115" t="n">
        <f aca="false">MOD_4_CUSTO_REPOSICAO_SERV</f>
        <v>242.293007427631</v>
      </c>
      <c r="H93" s="177"/>
      <c r="I93" s="177"/>
      <c r="J93" s="177"/>
      <c r="K93" s="177"/>
      <c r="L93" s="177"/>
      <c r="M93" s="177"/>
      <c r="N93" s="178"/>
    </row>
    <row r="94" s="81" customFormat="true" ht="16.5" hidden="false" customHeight="true" outlineLevel="0" collapsed="false">
      <c r="B94" s="49" t="n">
        <v>5</v>
      </c>
      <c r="C94" s="59" t="s">
        <v>103</v>
      </c>
      <c r="D94" s="59"/>
      <c r="E94" s="59"/>
      <c r="F94" s="113" t="n">
        <f aca="false">MOD_5_INSUMOS_SERV</f>
        <v>1064.63427</v>
      </c>
      <c r="H94" s="177"/>
      <c r="I94" s="177"/>
      <c r="J94" s="177"/>
      <c r="K94" s="177"/>
      <c r="L94" s="177"/>
      <c r="M94" s="177"/>
      <c r="N94" s="178"/>
    </row>
    <row r="95" s="82" customFormat="true" ht="16.5" hidden="false" customHeight="true" outlineLevel="0" collapsed="false">
      <c r="B95" s="49" t="n">
        <v>6</v>
      </c>
      <c r="C95" s="25" t="s">
        <v>241</v>
      </c>
      <c r="D95" s="25"/>
      <c r="E95" s="25"/>
      <c r="F95" s="115" t="n">
        <f aca="false">MOD_6_CUSTOS_IND_LUCRO_TRIB_SERV</f>
        <v>748.829604699187</v>
      </c>
      <c r="H95" s="177"/>
      <c r="I95" s="177"/>
      <c r="J95" s="177"/>
      <c r="K95" s="177"/>
      <c r="L95" s="177"/>
      <c r="M95" s="177"/>
      <c r="N95" s="178"/>
    </row>
    <row r="96" s="82" customFormat="true" ht="16.5" hidden="false" customHeight="true" outlineLevel="0" collapsed="false">
      <c r="B96" s="48" t="s">
        <v>252</v>
      </c>
      <c r="C96" s="48"/>
      <c r="D96" s="48"/>
      <c r="E96" s="48"/>
      <c r="F96" s="172" t="n">
        <f aca="false">SUM(F90:F95)</f>
        <v>4309.12435790741</v>
      </c>
      <c r="H96" s="177"/>
      <c r="I96" s="177"/>
      <c r="J96" s="177"/>
      <c r="K96" s="177"/>
      <c r="L96" s="177"/>
      <c r="M96" s="177"/>
      <c r="N96" s="178"/>
    </row>
    <row r="97" s="82" customFormat="true" ht="16.5" hidden="false" customHeight="false" outlineLevel="0" collapsed="false">
      <c r="B97" s="1"/>
      <c r="C97" s="1"/>
      <c r="D97" s="1"/>
      <c r="E97" s="1"/>
      <c r="F97" s="1"/>
      <c r="H97" s="177"/>
      <c r="I97" s="177"/>
      <c r="J97" s="177"/>
      <c r="K97" s="177"/>
      <c r="L97" s="177"/>
      <c r="M97" s="177"/>
      <c r="N97" s="178"/>
    </row>
    <row r="98" customFormat="false" ht="16.5" hidden="false" customHeight="true" outlineLevel="0" collapsed="false">
      <c r="L98" s="177"/>
      <c r="M98" s="177"/>
    </row>
    <row r="99" customFormat="false" ht="16.5" hidden="false" customHeight="true" outlineLevel="0" collapsed="false">
      <c r="L99" s="177"/>
      <c r="M99" s="177"/>
    </row>
    <row r="100" customFormat="false" ht="16.5" hidden="false" customHeight="false" outlineLevel="0" collapsed="false">
      <c r="L100" s="177"/>
      <c r="M100" s="177"/>
    </row>
    <row r="101" customFormat="false" ht="16.5" hidden="false" customHeight="false" outlineLevel="0" collapsed="false">
      <c r="L101" s="177"/>
      <c r="M101" s="177"/>
    </row>
    <row r="102" customFormat="false" ht="16.5" hidden="false" customHeight="false" outlineLevel="0" collapsed="false">
      <c r="L102" s="177"/>
      <c r="M102" s="177"/>
    </row>
    <row r="103" customFormat="false" ht="16.5" hidden="false" customHeight="false" outlineLevel="0" collapsed="false">
      <c r="L103" s="177"/>
      <c r="M103" s="177"/>
    </row>
    <row r="104" customFormat="false" ht="16.5" hidden="false" customHeight="false" outlineLevel="0" collapsed="false">
      <c r="L104" s="177"/>
      <c r="M104" s="177"/>
    </row>
    <row r="105" customFormat="false" ht="16.5" hidden="false" customHeight="false" outlineLevel="0" collapsed="false">
      <c r="L105" s="177"/>
      <c r="M105" s="177"/>
    </row>
    <row r="106" customFormat="false" ht="16.5" hidden="false" customHeight="false" outlineLevel="0" collapsed="false">
      <c r="L106" s="177"/>
      <c r="M106" s="177"/>
      <c r="N106" s="177"/>
    </row>
    <row r="107" customFormat="false" ht="16.5" hidden="false" customHeight="false" outlineLevel="0" collapsed="false">
      <c r="L107" s="177"/>
      <c r="M107" s="177"/>
      <c r="N107" s="177"/>
    </row>
    <row r="108" customFormat="false" ht="16.5" hidden="false" customHeight="false" outlineLevel="0" collapsed="false">
      <c r="L108" s="177"/>
      <c r="M108" s="177"/>
      <c r="N108" s="177"/>
    </row>
    <row r="109" customFormat="false" ht="16.5" hidden="false" customHeight="false" outlineLevel="0" collapsed="false">
      <c r="L109" s="177"/>
      <c r="M109" s="177"/>
      <c r="N109" s="177"/>
    </row>
    <row r="110" customFormat="false" ht="16.5" hidden="false" customHeight="false" outlineLevel="0" collapsed="false">
      <c r="L110" s="177"/>
      <c r="M110" s="177"/>
      <c r="N110" s="177"/>
    </row>
    <row r="111" customFormat="false" ht="16.5" hidden="false" customHeight="false" outlineLevel="0" collapsed="false">
      <c r="L111" s="177"/>
      <c r="M111" s="177"/>
      <c r="N111" s="177"/>
    </row>
    <row r="112" customFormat="false" ht="16.5" hidden="false" customHeight="false" outlineLevel="0" collapsed="false">
      <c r="L112" s="177"/>
      <c r="M112" s="177"/>
      <c r="N112" s="177"/>
    </row>
    <row r="113" customFormat="false" ht="16.5" hidden="false" customHeight="false" outlineLevel="0" collapsed="false">
      <c r="H113" s="184"/>
      <c r="I113" s="184"/>
      <c r="J113" s="184"/>
      <c r="K113" s="184"/>
      <c r="L113" s="184"/>
      <c r="M113" s="184"/>
      <c r="N113" s="184"/>
    </row>
    <row r="114" customFormat="false" ht="16.5" hidden="false" customHeight="false" outlineLevel="0" collapsed="false">
      <c r="H114" s="184"/>
      <c r="I114" s="184"/>
      <c r="J114" s="184"/>
      <c r="K114" s="184"/>
      <c r="L114" s="184"/>
      <c r="M114" s="184"/>
      <c r="N114" s="184"/>
    </row>
    <row r="115" customFormat="false" ht="16.5" hidden="false" customHeight="false" outlineLevel="0" collapsed="false">
      <c r="H115" s="184"/>
      <c r="I115" s="184"/>
      <c r="J115" s="184"/>
      <c r="K115" s="184"/>
      <c r="L115" s="184"/>
      <c r="M115" s="184"/>
      <c r="N115" s="184"/>
    </row>
    <row r="116" customFormat="false" ht="16.5" hidden="false" customHeight="false" outlineLevel="0" collapsed="false">
      <c r="H116" s="184"/>
      <c r="I116" s="184"/>
      <c r="J116" s="184"/>
      <c r="K116" s="184"/>
      <c r="L116" s="184"/>
      <c r="M116" s="184"/>
      <c r="N116" s="184"/>
    </row>
    <row r="117" customFormat="false" ht="16.5" hidden="false" customHeight="false" outlineLevel="0" collapsed="false">
      <c r="H117" s="184"/>
      <c r="I117" s="184"/>
      <c r="J117" s="184"/>
      <c r="K117" s="184"/>
      <c r="L117" s="184"/>
      <c r="M117" s="184"/>
      <c r="N117" s="184"/>
    </row>
    <row r="118" customFormat="false" ht="16.5" hidden="false" customHeight="false" outlineLevel="0" collapsed="false">
      <c r="H118" s="185"/>
      <c r="I118" s="185"/>
      <c r="J118" s="185"/>
      <c r="K118" s="185"/>
      <c r="L118" s="185"/>
      <c r="M118" s="185"/>
      <c r="N118" s="185"/>
    </row>
    <row r="119" customFormat="false" ht="16.5" hidden="false" customHeight="false" outlineLevel="0" collapsed="false">
      <c r="H119" s="184"/>
      <c r="I119" s="184"/>
      <c r="J119" s="184"/>
      <c r="K119" s="184"/>
      <c r="L119" s="184"/>
      <c r="M119" s="184"/>
      <c r="N119" s="184"/>
    </row>
    <row r="120" customFormat="false" ht="16.5" hidden="false" customHeight="false" outlineLevel="0" collapsed="false">
      <c r="H120" s="127"/>
      <c r="I120" s="127"/>
      <c r="J120" s="127"/>
      <c r="K120" s="127"/>
      <c r="L120" s="127"/>
      <c r="M120" s="127"/>
      <c r="N120" s="127"/>
    </row>
    <row r="121" customFormat="false" ht="16.5" hidden="false" customHeight="false" outlineLevel="0" collapsed="false">
      <c r="H121" s="127"/>
      <c r="I121" s="127"/>
      <c r="J121" s="127"/>
      <c r="K121" s="127"/>
      <c r="L121" s="127"/>
      <c r="M121" s="127"/>
      <c r="N121" s="127"/>
    </row>
    <row r="122" customFormat="false" ht="16.5" hidden="false" customHeight="false" outlineLevel="0" collapsed="false">
      <c r="H122" s="127"/>
      <c r="I122" s="127"/>
      <c r="J122" s="127"/>
      <c r="K122" s="127"/>
      <c r="L122" s="127"/>
      <c r="M122" s="127"/>
      <c r="N122" s="127"/>
    </row>
    <row r="123" customFormat="false" ht="16.5" hidden="false" customHeight="false" outlineLevel="0" collapsed="false">
      <c r="H123" s="127"/>
      <c r="I123" s="127"/>
      <c r="J123" s="127"/>
      <c r="K123" s="127"/>
      <c r="L123" s="127"/>
      <c r="M123" s="127"/>
      <c r="N123" s="127"/>
    </row>
    <row r="124" customFormat="false" ht="16.5" hidden="false" customHeight="false" outlineLevel="0" collapsed="false">
      <c r="H124" s="127"/>
      <c r="I124" s="127"/>
      <c r="J124" s="127"/>
      <c r="K124" s="127"/>
      <c r="L124" s="127"/>
      <c r="M124" s="127"/>
      <c r="N124" s="127"/>
    </row>
    <row r="125" customFormat="false" ht="16.5" hidden="false" customHeight="false" outlineLevel="0" collapsed="false">
      <c r="L125" s="177"/>
      <c r="M125" s="177"/>
      <c r="N125" s="177"/>
    </row>
    <row r="126" customFormat="false" ht="16.5" hidden="false" customHeight="false" outlineLevel="0" collapsed="false">
      <c r="L126" s="177"/>
      <c r="M126" s="177"/>
      <c r="N126" s="177"/>
    </row>
    <row r="127" customFormat="false" ht="16.5" hidden="false" customHeight="false" outlineLevel="0" collapsed="false">
      <c r="L127" s="177"/>
      <c r="M127" s="177"/>
      <c r="N127" s="177"/>
    </row>
    <row r="128" customFormat="false" ht="16.5" hidden="false" customHeight="false" outlineLevel="0" collapsed="false">
      <c r="L128" s="177"/>
      <c r="M128" s="177"/>
      <c r="N128" s="177"/>
    </row>
    <row r="129" customFormat="false" ht="16.5" hidden="false" customHeight="false" outlineLevel="0" collapsed="false">
      <c r="L129" s="177"/>
      <c r="M129" s="177"/>
      <c r="N129" s="177"/>
    </row>
    <row r="130" customFormat="false" ht="16.5" hidden="false" customHeight="false" outlineLevel="0" collapsed="false">
      <c r="L130" s="177"/>
      <c r="M130" s="177"/>
      <c r="N130" s="177"/>
    </row>
    <row r="131" customFormat="false" ht="16.5" hidden="false" customHeight="false" outlineLevel="0" collapsed="false">
      <c r="L131" s="177"/>
      <c r="M131" s="177"/>
      <c r="N131" s="177"/>
    </row>
    <row r="141" customFormat="false" ht="16.5" hidden="false" customHeight="false" outlineLevel="0" collapsed="false">
      <c r="H141" s="178"/>
      <c r="I141" s="178"/>
      <c r="J141" s="178"/>
      <c r="K141" s="178"/>
    </row>
    <row r="142" customFormat="false" ht="16.5" hidden="false" customHeight="false" outlineLevel="0" collapsed="false">
      <c r="H142" s="178"/>
      <c r="I142" s="178"/>
      <c r="J142" s="178"/>
      <c r="K142" s="178"/>
    </row>
    <row r="143" customFormat="false" ht="16.5" hidden="false" customHeight="false" outlineLevel="0" collapsed="false">
      <c r="H143" s="178"/>
      <c r="I143" s="178"/>
      <c r="J143" s="178"/>
      <c r="K143" s="178"/>
    </row>
    <row r="144" customFormat="false" ht="16.5" hidden="false" customHeight="false" outlineLevel="0" collapsed="false">
      <c r="H144" s="178"/>
      <c r="I144" s="178"/>
      <c r="J144" s="178"/>
      <c r="K144" s="178"/>
    </row>
    <row r="145" customFormat="false" ht="16.5" hidden="false" customHeight="false" outlineLevel="0" collapsed="false">
      <c r="H145" s="178"/>
      <c r="I145" s="178"/>
      <c r="J145" s="178"/>
      <c r="K145" s="178"/>
    </row>
    <row r="146" customFormat="false" ht="16.5" hidden="false" customHeight="false" outlineLevel="0" collapsed="false">
      <c r="H146" s="178"/>
      <c r="I146" s="178"/>
      <c r="J146" s="178"/>
      <c r="K146" s="178"/>
    </row>
    <row r="147" customFormat="false" ht="16.5" hidden="false" customHeight="false" outlineLevel="0" collapsed="false">
      <c r="H147" s="178"/>
      <c r="I147" s="178"/>
      <c r="J147" s="178"/>
      <c r="K147" s="178"/>
    </row>
    <row r="148" customFormat="false" ht="16.5" hidden="false" customHeight="false" outlineLevel="0" collapsed="false">
      <c r="H148" s="178"/>
      <c r="I148" s="178"/>
      <c r="J148" s="178"/>
      <c r="K148" s="178"/>
    </row>
    <row r="149" customFormat="false" ht="16.5" hidden="false" customHeight="false" outlineLevel="0" collapsed="false">
      <c r="H149" s="178"/>
      <c r="I149" s="178"/>
      <c r="J149" s="178"/>
      <c r="K149" s="178"/>
    </row>
    <row r="150" customFormat="false" ht="16.5" hidden="false" customHeight="false" outlineLevel="0" collapsed="false">
      <c r="H150" s="178"/>
      <c r="I150" s="178"/>
      <c r="J150" s="178"/>
      <c r="K150" s="178"/>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8">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B57:E57"/>
    <mergeCell ref="C60:D60"/>
    <mergeCell ref="C61:D61"/>
    <mergeCell ref="C62:D62"/>
    <mergeCell ref="C63:D63"/>
    <mergeCell ref="C64:D64"/>
    <mergeCell ref="C65:D65"/>
    <mergeCell ref="C66:D66"/>
    <mergeCell ref="B67:E67"/>
    <mergeCell ref="C69:E69"/>
    <mergeCell ref="C70:E70"/>
    <mergeCell ref="B71:E71"/>
    <mergeCell ref="C73:E73"/>
    <mergeCell ref="C74:E74"/>
    <mergeCell ref="C75:E75"/>
    <mergeCell ref="C76:E76"/>
    <mergeCell ref="C77:E77"/>
    <mergeCell ref="B78:E78"/>
    <mergeCell ref="B79:F79"/>
    <mergeCell ref="C80:D80"/>
    <mergeCell ref="C81:D81"/>
    <mergeCell ref="C82:D82"/>
    <mergeCell ref="C83:D83"/>
    <mergeCell ref="C84:D84"/>
    <mergeCell ref="C85:D85"/>
    <mergeCell ref="C86:D86"/>
    <mergeCell ref="B87:E87"/>
    <mergeCell ref="C89:E89"/>
    <mergeCell ref="C90:E90"/>
    <mergeCell ref="C91:E91"/>
    <mergeCell ref="C92:E92"/>
    <mergeCell ref="C93:E93"/>
    <mergeCell ref="C94:E94"/>
    <mergeCell ref="C95:E95"/>
    <mergeCell ref="B96:E96"/>
  </mergeCells>
  <printOptions headings="false" gridLines="false" gridLinesSet="true" horizontalCentered="true" verticalCentered="false"/>
  <pageMargins left="0.0798611111111111" right="0.05" top="0.196527777777778" bottom="0.157638888888889" header="0.511805555555555" footer="0.511805555555555"/>
  <pageSetup paperSize="9"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I56"/>
  <sheetViews>
    <sheetView showFormulas="false" showGridLines="true" showRowColHeaders="true" showZeros="true" rightToLeft="false" tabSelected="false" showOutlineSymbols="true" defaultGridColor="true" view="normal" topLeftCell="A19" colorId="64" zoomScale="80" zoomScaleNormal="80" zoomScalePageLayoutView="100" workbookViewId="0">
      <selection pane="topLeft" activeCell="F50" activeCellId="0" sqref="F50"/>
    </sheetView>
  </sheetViews>
  <sheetFormatPr defaultRowHeight="16.5" zeroHeight="false" outlineLevelRow="0" outlineLevelCol="0"/>
  <cols>
    <col collapsed="false" customWidth="true" hidden="false" outlineLevel="0" max="1" min="1" style="182" width="1.12"/>
    <col collapsed="false" customWidth="true" hidden="false" outlineLevel="0" max="2" min="2" style="177" width="20.71"/>
    <col collapsed="false" customWidth="true" hidden="false" outlineLevel="0" max="3" min="3" style="127" width="20.42"/>
    <col collapsed="false" customWidth="true" hidden="false" outlineLevel="0" max="4" min="4" style="177" width="18.58"/>
    <col collapsed="false" customWidth="true" hidden="false" outlineLevel="0" max="5" min="5" style="177" width="17.4"/>
    <col collapsed="false" customWidth="true" hidden="false" outlineLevel="0" max="6" min="6" style="177" width="19"/>
    <col collapsed="false" customWidth="true" hidden="false" outlineLevel="0" max="7" min="7" style="178" width="17.71"/>
    <col collapsed="false" customWidth="true" hidden="false" outlineLevel="0" max="8" min="8" style="178" width="18.85"/>
    <col collapsed="false" customWidth="true" hidden="false" outlineLevel="0" max="9" min="9" style="178" width="17.29"/>
    <col collapsed="false" customWidth="true" hidden="false" outlineLevel="0" max="257" min="10" style="182" width="9.13"/>
    <col collapsed="false" customWidth="true" hidden="false" outlineLevel="0" max="258" min="258" style="182" width="1.12"/>
    <col collapsed="false" customWidth="true" hidden="false" outlineLevel="0" max="259" min="259" style="182" width="20.71"/>
    <col collapsed="false" customWidth="true" hidden="false" outlineLevel="0" max="260" min="260" style="182" width="23.42"/>
    <col collapsed="false" customWidth="true" hidden="false" outlineLevel="0" max="261" min="261" style="182" width="20.57"/>
    <col collapsed="false" customWidth="true" hidden="false" outlineLevel="0" max="262" min="262" style="182" width="19.99"/>
    <col collapsed="false" customWidth="true" hidden="false" outlineLevel="0" max="263" min="263" style="182" width="23.15"/>
    <col collapsed="false" customWidth="true" hidden="false" outlineLevel="0" max="264" min="264" style="182" width="13.57"/>
    <col collapsed="false" customWidth="true" hidden="false" outlineLevel="0" max="265" min="265" style="182" width="17.29"/>
    <col collapsed="false" customWidth="true" hidden="false" outlineLevel="0" max="513" min="266" style="182" width="9.13"/>
    <col collapsed="false" customWidth="true" hidden="false" outlineLevel="0" max="514" min="514" style="182" width="1.12"/>
    <col collapsed="false" customWidth="true" hidden="false" outlineLevel="0" max="515" min="515" style="182" width="20.71"/>
    <col collapsed="false" customWidth="true" hidden="false" outlineLevel="0" max="516" min="516" style="182" width="23.42"/>
    <col collapsed="false" customWidth="true" hidden="false" outlineLevel="0" max="517" min="517" style="182" width="20.57"/>
    <col collapsed="false" customWidth="true" hidden="false" outlineLevel="0" max="518" min="518" style="182" width="19.99"/>
    <col collapsed="false" customWidth="true" hidden="false" outlineLevel="0" max="519" min="519" style="182" width="23.15"/>
    <col collapsed="false" customWidth="true" hidden="false" outlineLevel="0" max="520" min="520" style="182" width="13.57"/>
    <col collapsed="false" customWidth="true" hidden="false" outlineLevel="0" max="521" min="521" style="182" width="17.29"/>
    <col collapsed="false" customWidth="true" hidden="false" outlineLevel="0" max="769" min="522" style="182" width="9.13"/>
    <col collapsed="false" customWidth="true" hidden="false" outlineLevel="0" max="770" min="770" style="182" width="1.12"/>
    <col collapsed="false" customWidth="true" hidden="false" outlineLevel="0" max="771" min="771" style="182" width="20.71"/>
    <col collapsed="false" customWidth="true" hidden="false" outlineLevel="0" max="772" min="772" style="182" width="23.42"/>
    <col collapsed="false" customWidth="true" hidden="false" outlineLevel="0" max="773" min="773" style="182" width="20.57"/>
    <col collapsed="false" customWidth="true" hidden="false" outlineLevel="0" max="774" min="774" style="182" width="19.99"/>
    <col collapsed="false" customWidth="true" hidden="false" outlineLevel="0" max="775" min="775" style="182" width="23.15"/>
    <col collapsed="false" customWidth="true" hidden="false" outlineLevel="0" max="776" min="776" style="182" width="13.57"/>
    <col collapsed="false" customWidth="true" hidden="false" outlineLevel="0" max="777" min="777" style="182" width="17.29"/>
    <col collapsed="false" customWidth="true" hidden="false" outlineLevel="0" max="1025" min="778" style="182" width="9.13"/>
  </cols>
  <sheetData>
    <row r="1" s="186" customFormat="true" ht="20.25" hidden="false" customHeight="false" outlineLevel="0" collapsed="false">
      <c r="B1" s="187" t="str">
        <f aca="false">RAMO</f>
        <v>RAMO: MINISTÉRIO PÚBLICO FEDERAL</v>
      </c>
      <c r="C1" s="187"/>
      <c r="D1" s="187"/>
      <c r="E1" s="187"/>
      <c r="F1" s="187"/>
      <c r="G1" s="187"/>
      <c r="H1" s="187"/>
      <c r="I1" s="187"/>
    </row>
    <row r="2" s="186" customFormat="true" ht="20.25" hidden="false" customHeight="false" outlineLevel="0" collapsed="false">
      <c r="B2" s="188" t="str">
        <f aca="false">UG</f>
        <v>UNIDADE GESTORA (SIGLA): PRMS</v>
      </c>
      <c r="C2" s="188"/>
      <c r="D2" s="188"/>
      <c r="E2" s="188"/>
      <c r="F2" s="188"/>
      <c r="G2" s="188"/>
      <c r="H2" s="130" t="s">
        <v>2</v>
      </c>
      <c r="I2" s="131" t="n">
        <f aca="false">IF(DATA_DO_ORCAMENTO_ESTIMATIVO="","",DATA_DO_ORCAMENTO_ESTIMATIVO)</f>
        <v>44915</v>
      </c>
    </row>
    <row r="3" customFormat="false" ht="9" hidden="false" customHeight="true" outlineLevel="0" collapsed="false"/>
    <row r="4" customFormat="false" ht="20.25" hidden="false" customHeight="false" outlineLevel="0" collapsed="false">
      <c r="B4" s="189" t="s">
        <v>253</v>
      </c>
      <c r="C4" s="189"/>
      <c r="D4" s="189"/>
      <c r="E4" s="189"/>
      <c r="F4" s="189"/>
      <c r="G4" s="189"/>
      <c r="H4" s="189"/>
      <c r="I4" s="189"/>
    </row>
    <row r="5" customFormat="false" ht="15" hidden="false" customHeight="true" outlineLevel="0" collapsed="false">
      <c r="B5" s="190" t="s">
        <v>254</v>
      </c>
      <c r="C5" s="190"/>
      <c r="D5" s="190"/>
      <c r="E5" s="190"/>
      <c r="F5" s="190"/>
      <c r="G5" s="190"/>
      <c r="H5" s="190"/>
      <c r="I5" s="190"/>
    </row>
    <row r="6" s="191" customFormat="true" ht="10.5" hidden="false" customHeight="true" outlineLevel="0" collapsed="false">
      <c r="B6" s="192"/>
      <c r="C6" s="193"/>
      <c r="D6" s="192"/>
      <c r="E6" s="192"/>
      <c r="F6" s="192"/>
      <c r="G6" s="192"/>
      <c r="H6" s="192"/>
      <c r="I6" s="192"/>
    </row>
    <row r="7" customFormat="false" ht="15" hidden="false" customHeight="true" outlineLevel="0" collapsed="false">
      <c r="B7" s="190" t="s">
        <v>302</v>
      </c>
      <c r="C7" s="190"/>
      <c r="D7" s="190"/>
      <c r="E7" s="190"/>
      <c r="F7" s="190"/>
      <c r="G7" s="190"/>
      <c r="H7" s="190"/>
      <c r="I7" s="190"/>
    </row>
    <row r="8" customFormat="false" ht="14.25" hidden="false" customHeight="true" outlineLevel="0" collapsed="false">
      <c r="B8" s="194" t="s">
        <v>256</v>
      </c>
      <c r="C8" s="194"/>
      <c r="D8" s="194"/>
      <c r="E8" s="194"/>
      <c r="F8" s="194"/>
      <c r="G8" s="194"/>
      <c r="H8" s="194"/>
      <c r="I8" s="194"/>
    </row>
    <row r="9" customFormat="false" ht="15.75" hidden="false" customHeight="true" outlineLevel="0" collapsed="false">
      <c r="B9" s="194"/>
      <c r="C9" s="194"/>
      <c r="D9" s="194"/>
      <c r="E9" s="194"/>
      <c r="F9" s="194"/>
      <c r="G9" s="194"/>
      <c r="H9" s="194"/>
      <c r="I9" s="194"/>
    </row>
    <row r="10" customFormat="false" ht="12.75" hidden="false" customHeight="true" outlineLevel="0" collapsed="false">
      <c r="A10" s="195"/>
      <c r="B10" s="21" t="s">
        <v>257</v>
      </c>
      <c r="C10" s="49" t="s">
        <v>258</v>
      </c>
      <c r="D10" s="49" t="s">
        <v>259</v>
      </c>
      <c r="E10" s="49" t="s">
        <v>260</v>
      </c>
      <c r="F10" s="49" t="s">
        <v>261</v>
      </c>
      <c r="G10" s="196"/>
      <c r="I10" s="182"/>
    </row>
    <row r="11" customFormat="false" ht="21" hidden="false" customHeight="true" outlineLevel="0" collapsed="false">
      <c r="A11" s="195"/>
      <c r="B11" s="21"/>
      <c r="C11" s="49"/>
      <c r="D11" s="49"/>
      <c r="E11" s="49"/>
      <c r="F11" s="49"/>
      <c r="G11" s="196"/>
      <c r="I11" s="182"/>
    </row>
    <row r="12" customFormat="false" ht="16.5" hidden="false" customHeight="false" outlineLevel="0" collapsed="false">
      <c r="A12" s="195"/>
      <c r="B12" s="97" t="s">
        <v>264</v>
      </c>
      <c r="C12" s="101" t="s">
        <v>263</v>
      </c>
      <c r="D12" s="198" t="n">
        <f aca="false">1/'INSERÇÃO-DE-DADOS_PRODUTIVIDADE'!J9</f>
        <v>0.00125</v>
      </c>
      <c r="E12" s="199" t="n">
        <f aca="false">'SERVENTE TL'!F96</f>
        <v>4309.12435790741</v>
      </c>
      <c r="F12" s="199" t="n">
        <f aca="false">D12*E12</f>
        <v>5.38640544738426</v>
      </c>
      <c r="G12" s="196"/>
      <c r="I12" s="182"/>
    </row>
    <row r="13" customFormat="false" ht="16.5" hidden="false" customHeight="false" outlineLevel="0" collapsed="false">
      <c r="A13" s="195"/>
      <c r="B13" s="97" t="s">
        <v>264</v>
      </c>
      <c r="C13" s="101" t="s">
        <v>266</v>
      </c>
      <c r="D13" s="198" t="n">
        <f aca="false">1/'INSERÇÃO-DE-DADOS_PRODUTIVIDADE'!J10</f>
        <v>0.000666666666666667</v>
      </c>
      <c r="E13" s="199" t="n">
        <f aca="false">'SERVENTE TL'!F96</f>
        <v>4309.12435790741</v>
      </c>
      <c r="F13" s="199" t="n">
        <f aca="false">D13*E13</f>
        <v>2.87274957193827</v>
      </c>
      <c r="G13" s="196"/>
      <c r="I13" s="182"/>
    </row>
    <row r="14" customFormat="false" ht="16.5" hidden="false" customHeight="false" outlineLevel="0" collapsed="false">
      <c r="A14" s="195"/>
      <c r="B14" s="97" t="s">
        <v>264</v>
      </c>
      <c r="C14" s="101" t="s">
        <v>268</v>
      </c>
      <c r="D14" s="198" t="n">
        <f aca="false">1/'INSERÇÃO-DE-DADOS_PRODUTIVIDADE'!J11</f>
        <v>0.005</v>
      </c>
      <c r="E14" s="199" t="n">
        <f aca="false">'SERVENTE TL'!F96</f>
        <v>4309.12435790741</v>
      </c>
      <c r="F14" s="199" t="n">
        <f aca="false">D14*E14</f>
        <v>21.545621789537</v>
      </c>
      <c r="G14" s="196"/>
      <c r="I14" s="182"/>
    </row>
    <row r="15" customFormat="false" ht="3.75" hidden="false" customHeight="true" outlineLevel="0" collapsed="false">
      <c r="B15" s="197"/>
      <c r="C15" s="203"/>
      <c r="D15" s="204"/>
      <c r="E15" s="204"/>
      <c r="F15" s="204"/>
      <c r="G15" s="205"/>
      <c r="I15" s="182"/>
    </row>
    <row r="16" s="206" customFormat="true" ht="15.75" hidden="false" customHeight="true" outlineLevel="0" collapsed="false">
      <c r="B16" s="194" t="s">
        <v>298</v>
      </c>
      <c r="C16" s="194"/>
      <c r="D16" s="194"/>
      <c r="E16" s="194"/>
      <c r="F16" s="194"/>
      <c r="G16" s="194"/>
      <c r="H16" s="194"/>
      <c r="I16" s="194"/>
    </row>
    <row r="17" s="206" customFormat="true" ht="14.25" hidden="false" customHeight="false" outlineLevel="0" collapsed="false">
      <c r="B17" s="194"/>
      <c r="C17" s="194"/>
      <c r="D17" s="194"/>
      <c r="E17" s="194"/>
      <c r="F17" s="194"/>
      <c r="G17" s="194"/>
      <c r="H17" s="194"/>
      <c r="I17" s="194"/>
    </row>
    <row r="18" customFormat="false" ht="12.75" hidden="false" customHeight="true" outlineLevel="0" collapsed="false">
      <c r="A18" s="195"/>
      <c r="B18" s="21" t="s">
        <v>257</v>
      </c>
      <c r="C18" s="49" t="s">
        <v>258</v>
      </c>
      <c r="D18" s="49" t="s">
        <v>259</v>
      </c>
      <c r="E18" s="49" t="s">
        <v>260</v>
      </c>
      <c r="F18" s="49" t="s">
        <v>261</v>
      </c>
      <c r="G18" s="196"/>
    </row>
    <row r="19" customFormat="false" ht="31.5" hidden="false" customHeight="true" outlineLevel="0" collapsed="false">
      <c r="A19" s="195"/>
      <c r="B19" s="21"/>
      <c r="C19" s="49"/>
      <c r="D19" s="49"/>
      <c r="E19" s="49"/>
      <c r="F19" s="49"/>
      <c r="G19" s="196"/>
      <c r="H19" s="177"/>
    </row>
    <row r="20" customFormat="false" ht="16.5" hidden="false" customHeight="false" outlineLevel="0" collapsed="false">
      <c r="A20" s="195"/>
      <c r="B20" s="97" t="s">
        <v>264</v>
      </c>
      <c r="C20" s="101" t="s">
        <v>271</v>
      </c>
      <c r="D20" s="198" t="n">
        <f aca="false">1/'INSERÇÃO-DE-DADOS_PRODUTIVIDADE'!J12</f>
        <v>0.000555555555555556</v>
      </c>
      <c r="E20" s="199" t="n">
        <f aca="false">'SERVENTE TL'!F96</f>
        <v>4309.12435790741</v>
      </c>
      <c r="F20" s="199" t="n">
        <f aca="false">D20*E20</f>
        <v>2.39395797661523</v>
      </c>
      <c r="G20" s="196"/>
      <c r="H20" s="177"/>
    </row>
    <row r="21" customFormat="false" ht="49.5" hidden="false" customHeight="false" outlineLevel="0" collapsed="false">
      <c r="A21" s="195"/>
      <c r="B21" s="97" t="s">
        <v>264</v>
      </c>
      <c r="C21" s="101" t="s">
        <v>273</v>
      </c>
      <c r="D21" s="198" t="n">
        <f aca="false">1/'INSERÇÃO-DE-DADOS_PRODUTIVIDADE'!J13</f>
        <v>0.000166666666666667</v>
      </c>
      <c r="E21" s="199" t="n">
        <f aca="false">'SERVENTE TL'!F96</f>
        <v>4309.12435790741</v>
      </c>
      <c r="F21" s="199" t="n">
        <f aca="false">D21*E21</f>
        <v>0.718187392984569</v>
      </c>
      <c r="G21" s="196"/>
      <c r="H21" s="177"/>
    </row>
    <row r="22" customFormat="false" ht="16.5" hidden="false" customHeight="false" outlineLevel="0" collapsed="false">
      <c r="A22" s="195"/>
      <c r="B22" s="97" t="s">
        <v>264</v>
      </c>
      <c r="C22" s="101" t="s">
        <v>275</v>
      </c>
      <c r="D22" s="198" t="n">
        <f aca="false">1/'INSERÇÃO-DE-DADOS_PRODUTIVIDADE'!J14</f>
        <v>0.000555555555555556</v>
      </c>
      <c r="E22" s="199" t="n">
        <f aca="false">'SERVENTE TL'!F96</f>
        <v>4309.12435790741</v>
      </c>
      <c r="F22" s="199" t="n">
        <f aca="false">D22*E22</f>
        <v>2.39395797661523</v>
      </c>
      <c r="G22" s="196"/>
      <c r="H22" s="177"/>
    </row>
    <row r="23" customFormat="false" ht="3.75" hidden="false" customHeight="true" outlineLevel="0" collapsed="false">
      <c r="B23" s="197"/>
      <c r="C23" s="203"/>
      <c r="D23" s="204"/>
      <c r="E23" s="204"/>
      <c r="F23" s="204"/>
      <c r="G23" s="208"/>
      <c r="H23" s="196"/>
      <c r="I23" s="196"/>
    </row>
    <row r="24" s="206" customFormat="true" ht="12.75" hidden="false" customHeight="true" outlineLevel="0" collapsed="false">
      <c r="B24" s="194" t="s">
        <v>276</v>
      </c>
      <c r="C24" s="194"/>
      <c r="D24" s="194"/>
      <c r="E24" s="194"/>
      <c r="F24" s="194"/>
      <c r="G24" s="194"/>
      <c r="H24" s="194"/>
      <c r="I24" s="194"/>
    </row>
    <row r="25" s="206" customFormat="true" ht="15.75" hidden="false" customHeight="true" outlineLevel="0" collapsed="false">
      <c r="B25" s="194"/>
      <c r="C25" s="194"/>
      <c r="D25" s="194"/>
      <c r="E25" s="194"/>
      <c r="F25" s="194"/>
      <c r="G25" s="194"/>
      <c r="H25" s="194"/>
      <c r="I25" s="194"/>
    </row>
    <row r="26" customFormat="false" ht="12.75" hidden="false" customHeight="true" outlineLevel="0" collapsed="false">
      <c r="A26" s="195"/>
      <c r="B26" s="21" t="s">
        <v>257</v>
      </c>
      <c r="C26" s="49" t="s">
        <v>258</v>
      </c>
      <c r="D26" s="49" t="s">
        <v>259</v>
      </c>
      <c r="E26" s="49" t="s">
        <v>277</v>
      </c>
      <c r="F26" s="49" t="s">
        <v>278</v>
      </c>
      <c r="G26" s="49" t="s">
        <v>279</v>
      </c>
      <c r="H26" s="49" t="s">
        <v>280</v>
      </c>
      <c r="I26" s="49" t="s">
        <v>281</v>
      </c>
    </row>
    <row r="27" customFormat="false" ht="14.25" hidden="false" customHeight="false" outlineLevel="0" collapsed="false">
      <c r="A27" s="195"/>
      <c r="B27" s="21"/>
      <c r="C27" s="49"/>
      <c r="D27" s="49"/>
      <c r="E27" s="49"/>
      <c r="F27" s="49"/>
      <c r="G27" s="49"/>
      <c r="H27" s="49"/>
      <c r="I27" s="49"/>
    </row>
    <row r="28" customFormat="false" ht="36" hidden="false" customHeight="true" outlineLevel="0" collapsed="false">
      <c r="A28" s="195"/>
      <c r="B28" s="21"/>
      <c r="C28" s="49"/>
      <c r="D28" s="49"/>
      <c r="E28" s="49"/>
      <c r="F28" s="49"/>
      <c r="G28" s="49"/>
      <c r="H28" s="49"/>
      <c r="I28" s="49"/>
    </row>
    <row r="29" customFormat="false" ht="16.5" hidden="false" customHeight="false" outlineLevel="0" collapsed="false">
      <c r="A29" s="195"/>
      <c r="B29" s="97" t="s">
        <v>264</v>
      </c>
      <c r="C29" s="101" t="s">
        <v>282</v>
      </c>
      <c r="D29" s="198" t="n">
        <f aca="false">1/'INSERÇÃO-DE-DADOS_PRODUTIVIDADE'!J15</f>
        <v>0.00333333333333333</v>
      </c>
      <c r="E29" s="209" t="n">
        <f aca="false">'INSERÇÃO-DE-DADOS_PRODUTIVIDADE'!L15</f>
        <v>16</v>
      </c>
      <c r="F29" s="210" t="n">
        <f aca="false">1/((DIAS_NO_MES/DIAS_NA_SEMANA)*CARGA_HORARIA_SEMANAL)</f>
        <v>0.00583333333333333</v>
      </c>
      <c r="G29" s="210" t="n">
        <f aca="false">D29*E29*F29</f>
        <v>0.000311111111111111</v>
      </c>
      <c r="H29" s="199" t="n">
        <f aca="false">'SERVENTE TL'!F96</f>
        <v>4309.12435790741</v>
      </c>
      <c r="I29" s="199" t="n">
        <f aca="false">G29*H29</f>
        <v>1.34061646690453</v>
      </c>
    </row>
    <row r="30" customFormat="false" ht="16.5" hidden="false" customHeight="false" outlineLevel="0" collapsed="false">
      <c r="A30" s="195"/>
      <c r="B30" s="97"/>
      <c r="C30" s="101" t="s">
        <v>283</v>
      </c>
      <c r="D30" s="198" t="n">
        <f aca="false">1/'INSERÇÃO-DE-DADOS_PRODUTIVIDADE'!J16</f>
        <v>0.00333333333333333</v>
      </c>
      <c r="E30" s="209" t="n">
        <f aca="false">'INSERÇÃO-DE-DADOS_PRODUTIVIDADE'!L16</f>
        <v>16</v>
      </c>
      <c r="F30" s="210" t="n">
        <f aca="false">1/((DIAS_NO_MES/DIAS_NA_SEMANA)*CARGA_HORARIA_SEMANAL)</f>
        <v>0.00583333333333333</v>
      </c>
      <c r="G30" s="210" t="n">
        <f aca="false">D30*E30*F30</f>
        <v>0.000311111111111111</v>
      </c>
      <c r="H30" s="199" t="n">
        <f aca="false">'SERVENTE TL'!F96</f>
        <v>4309.12435790741</v>
      </c>
      <c r="I30" s="199" t="n">
        <f aca="false">G30*H30</f>
        <v>1.34061646690453</v>
      </c>
    </row>
    <row r="31" customFormat="false" ht="10.35" hidden="false" customHeight="true" outlineLevel="0" collapsed="false">
      <c r="A31" s="195"/>
      <c r="B31" s="197"/>
      <c r="C31" s="203"/>
      <c r="D31" s="204"/>
      <c r="E31" s="204"/>
      <c r="F31" s="204"/>
      <c r="G31" s="204"/>
      <c r="H31" s="204"/>
      <c r="I31" s="204"/>
    </row>
    <row r="32" customFormat="false" ht="9" hidden="false" customHeight="true" outlineLevel="0" collapsed="false">
      <c r="B32" s="197"/>
      <c r="C32" s="203"/>
      <c r="D32" s="204"/>
      <c r="E32" s="204"/>
      <c r="F32" s="204"/>
      <c r="G32" s="208"/>
      <c r="H32" s="177"/>
    </row>
    <row r="33" s="206" customFormat="true" ht="13.5" hidden="false" customHeight="true" outlineLevel="0" collapsed="false">
      <c r="B33" s="214" t="s">
        <v>286</v>
      </c>
      <c r="C33" s="214"/>
      <c r="D33" s="214"/>
      <c r="E33" s="214"/>
      <c r="F33" s="214"/>
      <c r="G33" s="182"/>
      <c r="H33" s="182"/>
    </row>
    <row r="34" s="182" customFormat="true" ht="13.5" hidden="false" customHeight="true" outlineLevel="0" collapsed="false">
      <c r="B34" s="217"/>
      <c r="C34" s="217"/>
      <c r="D34" s="217"/>
      <c r="E34" s="217"/>
      <c r="F34" s="217"/>
    </row>
    <row r="35" s="182" customFormat="true" ht="27" hidden="false" customHeight="true" outlineLevel="0" collapsed="false">
      <c r="B35" s="49" t="s">
        <v>258</v>
      </c>
      <c r="C35" s="49"/>
      <c r="D35" s="49" t="s">
        <v>287</v>
      </c>
      <c r="E35" s="49" t="s">
        <v>288</v>
      </c>
      <c r="F35" s="49" t="s">
        <v>289</v>
      </c>
    </row>
    <row r="36" s="182" customFormat="true" ht="27" hidden="false" customHeight="true" outlineLevel="0" collapsed="false">
      <c r="B36" s="49"/>
      <c r="C36" s="49"/>
      <c r="D36" s="49"/>
      <c r="E36" s="49"/>
      <c r="F36" s="49"/>
    </row>
    <row r="37" s="182" customFormat="true" ht="45.6" hidden="false" customHeight="true" outlineLevel="0" collapsed="false">
      <c r="B37" s="49"/>
      <c r="C37" s="49"/>
      <c r="D37" s="49" t="s">
        <v>136</v>
      </c>
      <c r="E37" s="49" t="s">
        <v>299</v>
      </c>
      <c r="F37" s="49" t="s">
        <v>291</v>
      </c>
    </row>
    <row r="38" s="182" customFormat="true" ht="19.35" hidden="false" customHeight="true" outlineLevel="0" collapsed="false">
      <c r="B38" s="97" t="s">
        <v>292</v>
      </c>
      <c r="C38" s="101" t="s">
        <v>263</v>
      </c>
      <c r="D38" s="220" t="n">
        <f aca="false">'INSERÇÃO-DE-DADOS_PRODUTIVIDADE'!F9</f>
        <v>411.17</v>
      </c>
      <c r="E38" s="221" t="n">
        <f aca="false">F12</f>
        <v>5.38640544738426</v>
      </c>
      <c r="F38" s="222" t="n">
        <f aca="false">D38*E38</f>
        <v>2214.72832780099</v>
      </c>
    </row>
    <row r="39" s="182" customFormat="true" ht="19.35" hidden="false" customHeight="true" outlineLevel="0" collapsed="false">
      <c r="B39" s="97"/>
      <c r="C39" s="101" t="s">
        <v>266</v>
      </c>
      <c r="D39" s="220" t="n">
        <f aca="false">'INSERÇÃO-DE-DADOS_PRODUTIVIDADE'!F10</f>
        <v>0</v>
      </c>
      <c r="E39" s="221" t="n">
        <f aca="false">F13</f>
        <v>2.87274957193827</v>
      </c>
      <c r="F39" s="222" t="n">
        <f aca="false">D39*E39</f>
        <v>0</v>
      </c>
    </row>
    <row r="40" s="182" customFormat="true" ht="19.35" hidden="false" customHeight="true" outlineLevel="0" collapsed="false">
      <c r="B40" s="97"/>
      <c r="C40" s="101" t="s">
        <v>268</v>
      </c>
      <c r="D40" s="220" t="n">
        <f aca="false">'INSERÇÃO-DE-DADOS_PRODUTIVIDADE'!F11</f>
        <v>23.09</v>
      </c>
      <c r="E40" s="221" t="n">
        <f aca="false">F14</f>
        <v>21.545621789537</v>
      </c>
      <c r="F40" s="222" t="n">
        <f aca="false">D40*E40</f>
        <v>497.48840712041</v>
      </c>
    </row>
    <row r="41" s="182" customFormat="true" ht="19.35" hidden="false" customHeight="true" outlineLevel="0" collapsed="false">
      <c r="B41" s="97" t="s">
        <v>293</v>
      </c>
      <c r="C41" s="101" t="s">
        <v>271</v>
      </c>
      <c r="D41" s="220" t="n">
        <f aca="false">'INSERÇÃO-DE-DADOS_PRODUTIVIDADE'!F12</f>
        <v>296.19</v>
      </c>
      <c r="E41" s="220" t="n">
        <f aca="false">F20</f>
        <v>2.39395797661523</v>
      </c>
      <c r="F41" s="222" t="n">
        <f aca="false">D41*E41</f>
        <v>709.066413093664</v>
      </c>
    </row>
    <row r="42" s="182" customFormat="true" ht="49.15" hidden="false" customHeight="true" outlineLevel="0" collapsed="false">
      <c r="B42" s="97"/>
      <c r="C42" s="101" t="s">
        <v>273</v>
      </c>
      <c r="D42" s="220" t="n">
        <f aca="false">'INSERÇÃO-DE-DADOS_PRODUTIVIDADE'!F13</f>
        <v>279.4</v>
      </c>
      <c r="E42" s="220" t="n">
        <f aca="false">F21</f>
        <v>0.718187392984569</v>
      </c>
      <c r="F42" s="222" t="n">
        <f aca="false">D42*E42</f>
        <v>200.661557599889</v>
      </c>
    </row>
    <row r="43" s="182" customFormat="true" ht="19.35" hidden="false" customHeight="true" outlineLevel="0" collapsed="false">
      <c r="B43" s="97"/>
      <c r="C43" s="101" t="s">
        <v>275</v>
      </c>
      <c r="D43" s="220" t="n">
        <f aca="false">'INSERÇÃO-DE-DADOS_PRODUTIVIDADE'!F14</f>
        <v>220.6</v>
      </c>
      <c r="E43" s="220" t="n">
        <f aca="false">F22</f>
        <v>2.39395797661523</v>
      </c>
      <c r="F43" s="222" t="n">
        <f aca="false">D43*E43</f>
        <v>528.107129641319</v>
      </c>
    </row>
    <row r="44" s="182" customFormat="true" ht="19.35" hidden="false" customHeight="true" outlineLevel="0" collapsed="false">
      <c r="B44" s="97" t="s">
        <v>294</v>
      </c>
      <c r="C44" s="101" t="s">
        <v>282</v>
      </c>
      <c r="D44" s="220" t="n">
        <f aca="false">'INSERÇÃO-DE-DADOS_PRODUTIVIDADE'!F15</f>
        <v>72.68</v>
      </c>
      <c r="E44" s="221" t="n">
        <f aca="false">I29</f>
        <v>1.34061646690453</v>
      </c>
      <c r="F44" s="222" t="n">
        <f aca="false">D44*E44</f>
        <v>97.436004814621</v>
      </c>
    </row>
    <row r="45" s="182" customFormat="true" ht="19.35" hidden="false" customHeight="true" outlineLevel="0" collapsed="false">
      <c r="B45" s="97"/>
      <c r="C45" s="101" t="s">
        <v>283</v>
      </c>
      <c r="D45" s="220" t="n">
        <f aca="false">'INSERÇÃO-DE-DADOS_PRODUTIVIDADE'!F16</f>
        <v>72.68</v>
      </c>
      <c r="E45" s="221" t="n">
        <f aca="false">I30</f>
        <v>1.34061646690453</v>
      </c>
      <c r="F45" s="222" t="n">
        <f aca="false">D45*E45</f>
        <v>97.436004814621</v>
      </c>
    </row>
    <row r="46" s="182" customFormat="true" ht="16.7" hidden="false" customHeight="true" outlineLevel="0" collapsed="false">
      <c r="B46" s="223" t="s">
        <v>303</v>
      </c>
      <c r="C46" s="223"/>
      <c r="D46" s="223"/>
      <c r="E46" s="223"/>
      <c r="F46" s="224" t="n">
        <f aca="false">SUM(F38:F45)</f>
        <v>4344.92384488551</v>
      </c>
    </row>
    <row r="47" customFormat="false" ht="16.5" hidden="false" customHeight="false" outlineLevel="0" collapsed="false">
      <c r="G47" s="182"/>
      <c r="H47" s="182"/>
    </row>
    <row r="48" s="206" customFormat="true" ht="13.5" hidden="false" customHeight="true" outlineLevel="0" collapsed="false">
      <c r="C48" s="225"/>
    </row>
    <row r="49" customFormat="false" ht="13.5" hidden="false" customHeight="true" outlineLevel="0" collapsed="false">
      <c r="I49" s="182"/>
    </row>
    <row r="50" customFormat="false" ht="14.25" hidden="false" customHeight="true" outlineLevel="0" collapsed="false">
      <c r="I50" s="182"/>
    </row>
    <row r="51" customFormat="false" ht="16.5" hidden="false" customHeight="false" outlineLevel="0" collapsed="false">
      <c r="I51" s="182"/>
    </row>
    <row r="52" customFormat="false" ht="16.5" hidden="false" customHeight="false" outlineLevel="0" collapsed="false">
      <c r="I52" s="182"/>
    </row>
    <row r="53" customFormat="false" ht="16.5" hidden="false" customHeight="false" outlineLevel="0" collapsed="false">
      <c r="I53" s="182"/>
    </row>
    <row r="54" customFormat="false" ht="36" hidden="false" customHeight="true" outlineLevel="0" collapsed="false">
      <c r="I54" s="182"/>
    </row>
    <row r="55" customFormat="false" ht="16.5" hidden="false" customHeight="false" outlineLevel="0" collapsed="false">
      <c r="I55" s="182"/>
    </row>
    <row r="56" customFormat="false" ht="49.5" hidden="false" customHeight="true" outlineLevel="0" collapsed="false">
      <c r="I56" s="182"/>
    </row>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sheetPr filterMode="false">
    <pageSetUpPr fitToPage="false"/>
  </sheetPr>
  <dimension ref="B1:N1048576"/>
  <sheetViews>
    <sheetView showFormulas="false" showGridLines="true" showRowColHeaders="true" showZeros="true" rightToLeft="false" tabSelected="false" showOutlineSymbols="true" defaultGridColor="true" view="normal" topLeftCell="A61" colorId="64" zoomScale="80" zoomScaleNormal="80" zoomScalePageLayoutView="100" workbookViewId="0">
      <selection pane="topLeft" activeCell="I63" activeCellId="0" sqref="I63"/>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77" width="18.85"/>
    <col collapsed="false" customWidth="true" hidden="false" outlineLevel="0" max="9" min="9" style="177" width="14.86"/>
    <col collapsed="false" customWidth="true" hidden="false" outlineLevel="0" max="10" min="10" style="177" width="12.71"/>
    <col collapsed="false" customWidth="true" hidden="false" outlineLevel="0" max="11" min="11" style="177" width="14.01"/>
    <col collapsed="false" customWidth="true" hidden="false" outlineLevel="0" max="12" min="12" style="178" width="13.7"/>
    <col collapsed="false" customWidth="true" hidden="false" outlineLevel="0" max="13" min="13" style="178" width="9.42"/>
    <col collapsed="false" customWidth="true" hidden="false" outlineLevel="0" max="14" min="14" style="178" width="12.86"/>
    <col collapsed="false" customWidth="true" hidden="false" outlineLevel="0" max="1025" min="15" style="1" width="9.13"/>
  </cols>
  <sheetData>
    <row r="1" s="1" customFormat="true" ht="20.25" hidden="false" customHeight="false" outlineLevel="0" collapsed="false">
      <c r="B1" s="128" t="str">
        <f aca="false">RAMO</f>
        <v>RAMO: MINISTÉRIO PÚBLICO FEDERAL</v>
      </c>
      <c r="C1" s="128"/>
      <c r="D1" s="128"/>
      <c r="E1" s="128"/>
      <c r="F1" s="128"/>
    </row>
    <row r="2" s="1" customFormat="true" ht="20.25" hidden="false" customHeight="false" outlineLevel="0" collapsed="false">
      <c r="B2" s="129" t="str">
        <f aca="false">UG</f>
        <v>UNIDADE GESTORA (SIGLA): PRMS</v>
      </c>
      <c r="C2" s="129"/>
      <c r="D2" s="129"/>
      <c r="E2" s="130" t="s">
        <v>2</v>
      </c>
      <c r="F2" s="131" t="n">
        <f aca="false">IF(DATA_DO_ORCAMENTO_ESTIMATIVO="","",DATA_DO_ORCAMENTO_ESTIMATIVO)</f>
        <v>44915</v>
      </c>
    </row>
    <row r="3" s="3" customFormat="true" ht="25.5" hidden="false" customHeight="false" outlineLevel="0" collapsed="false">
      <c r="B3" s="6" t="s">
        <v>304</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225</v>
      </c>
      <c r="C5" s="8"/>
      <c r="D5" s="132" t="str">
        <f aca="false">NUMERO_PROCESSO</f>
        <v>1.21.000.000675/2022-97</v>
      </c>
      <c r="E5" s="132"/>
      <c r="F5" s="132"/>
    </row>
    <row r="6" s="3" customFormat="true" ht="15.75" hidden="false" customHeight="true" outlineLevel="0" collapsed="false">
      <c r="B6" s="10" t="s">
        <v>226</v>
      </c>
      <c r="C6" s="10"/>
      <c r="D6" s="133" t="str">
        <f aca="false">MODALIDADE_DE_LICITACAO</f>
        <v>Pregão nº</v>
      </c>
      <c r="E6" s="133"/>
      <c r="F6" s="134" t="str">
        <f aca="false">NUMERO_PREGAO</f>
        <v>1/2022</v>
      </c>
    </row>
    <row r="7" s="13" customFormat="true" ht="15.75" hidden="false" customHeight="true" outlineLevel="0" collapsed="false">
      <c r="B7" s="135" t="s">
        <v>227</v>
      </c>
      <c r="C7" s="135"/>
      <c r="D7" s="135"/>
      <c r="E7" s="135"/>
      <c r="F7" s="135"/>
    </row>
    <row r="8" s="3" customFormat="true" ht="18" hidden="false" customHeight="true" outlineLevel="0" collapsed="false">
      <c r="B8" s="19" t="s">
        <v>17</v>
      </c>
      <c r="C8" s="8" t="s">
        <v>18</v>
      </c>
      <c r="D8" s="8"/>
      <c r="E8" s="8"/>
      <c r="F8" s="136" t="s">
        <v>229</v>
      </c>
    </row>
    <row r="9" s="3" customFormat="true" ht="15.95" hidden="false" customHeight="true" outlineLevel="0" collapsed="false">
      <c r="B9" s="21" t="s">
        <v>19</v>
      </c>
      <c r="C9" s="22" t="s">
        <v>20</v>
      </c>
      <c r="D9" s="114" t="str">
        <f aca="false">IF(LOCAL_DE_EXECUCAO="","",LOCAL_DE_EXECUCAO)</f>
        <v/>
      </c>
      <c r="E9" s="114"/>
      <c r="F9" s="114"/>
    </row>
    <row r="10" s="3" customFormat="true" ht="18.75" hidden="false" customHeight="true" outlineLevel="0" collapsed="false">
      <c r="B10" s="19" t="s">
        <v>21</v>
      </c>
      <c r="C10" s="8" t="s">
        <v>25</v>
      </c>
      <c r="D10" s="8"/>
      <c r="E10" s="8"/>
      <c r="F10" s="137" t="str">
        <f aca="false">ACORDO_COLETIVO</f>
        <v>01/2022</v>
      </c>
    </row>
    <row r="11" s="3" customFormat="true" ht="15.95" hidden="false" customHeight="true" outlineLevel="0" collapsed="false">
      <c r="B11" s="21" t="s">
        <v>24</v>
      </c>
      <c r="C11" s="114" t="s">
        <v>28</v>
      </c>
      <c r="D11" s="114"/>
      <c r="E11" s="114"/>
      <c r="F11" s="67" t="n">
        <f aca="false">NUMERO_MESES_EXEC_CONTRATUAL</f>
        <v>12</v>
      </c>
    </row>
    <row r="12" s="3" customFormat="true" ht="16.5" hidden="false" customHeight="false" outlineLevel="0" collapsed="false">
      <c r="B12" s="21" t="s">
        <v>27</v>
      </c>
      <c r="C12" s="138" t="s">
        <v>251</v>
      </c>
      <c r="D12" s="138"/>
      <c r="E12" s="138"/>
      <c r="F12" s="26" t="n">
        <v>1</v>
      </c>
    </row>
    <row r="13" s="139" customFormat="true" ht="15" hidden="false" customHeight="true" outlineLevel="0" collapsed="false">
      <c r="B13" s="140" t="s">
        <v>49</v>
      </c>
      <c r="C13" s="141"/>
      <c r="D13" s="141"/>
      <c r="E13" s="141"/>
      <c r="F13" s="141"/>
    </row>
    <row r="14" s="3" customFormat="true" ht="16.5" hidden="false" customHeight="false" outlineLevel="0" collapsed="false">
      <c r="B14" s="19" t="n">
        <v>1</v>
      </c>
      <c r="C14" s="8" t="s">
        <v>43</v>
      </c>
      <c r="D14" s="8"/>
      <c r="E14" s="26" t="str">
        <f aca="false">TIPO_DE_SERVICO</f>
        <v>Limpeza e Conservação</v>
      </c>
      <c r="F14" s="26"/>
    </row>
    <row r="15" s="13" customFormat="true" ht="16.5" hidden="false" customHeight="false" outlineLevel="0" collapsed="false">
      <c r="B15" s="19" t="n">
        <v>2</v>
      </c>
      <c r="C15" s="39" t="s">
        <v>45</v>
      </c>
      <c r="D15" s="142" t="str">
        <f aca="false">CBO</f>
        <v>5143-20</v>
      </c>
      <c r="E15" s="142"/>
      <c r="F15" s="142"/>
    </row>
    <row r="16" s="3" customFormat="true" ht="15" hidden="false" customHeight="true" outlineLevel="0" collapsed="false">
      <c r="B16" s="19" t="n">
        <v>3</v>
      </c>
      <c r="C16" s="143" t="s">
        <v>231</v>
      </c>
      <c r="D16" s="132" t="str">
        <f aca="false">'INSERÇÃO-DE-DADOS_MÃO DE OBRA'!C21</f>
        <v>Servente Unidades do interior</v>
      </c>
      <c r="E16" s="132"/>
      <c r="F16" s="132"/>
    </row>
    <row r="17" s="3" customFormat="true" ht="15" hidden="false" customHeight="true" outlineLevel="0" collapsed="false">
      <c r="B17" s="19" t="n">
        <v>4</v>
      </c>
      <c r="C17" s="10" t="s">
        <v>47</v>
      </c>
      <c r="D17" s="10"/>
      <c r="E17" s="10"/>
      <c r="F17" s="179" t="n">
        <f aca="false">DATA_BASE_CATEGORIA</f>
        <v>44562</v>
      </c>
    </row>
    <row r="18" s="146" customFormat="true" ht="20.25" hidden="false" customHeight="true" outlineLevel="0" collapsed="false">
      <c r="B18" s="147" t="s">
        <v>232</v>
      </c>
      <c r="C18" s="147"/>
      <c r="D18" s="147"/>
      <c r="E18" s="147"/>
      <c r="F18" s="147"/>
    </row>
    <row r="19" customFormat="false" ht="16.5" hidden="false" customHeight="false" outlineLevel="0" collapsed="false">
      <c r="B19" s="46" t="s">
        <v>50</v>
      </c>
      <c r="E19" s="47"/>
      <c r="F19" s="47"/>
    </row>
    <row r="20" customFormat="false" ht="16.5" hidden="false" customHeight="true" outlineLevel="0" collapsed="false">
      <c r="B20" s="21" t="n">
        <v>1</v>
      </c>
      <c r="C20" s="48" t="s">
        <v>51</v>
      </c>
      <c r="D20" s="48"/>
      <c r="E20" s="48"/>
      <c r="F20" s="49" t="s">
        <v>104</v>
      </c>
    </row>
    <row r="21" customFormat="false" ht="16.5" hidden="false" customHeight="true" outlineLevel="0" collapsed="false">
      <c r="B21" s="21" t="s">
        <v>17</v>
      </c>
      <c r="C21" s="79" t="s">
        <v>233</v>
      </c>
      <c r="D21" s="79"/>
      <c r="E21" s="79"/>
      <c r="F21" s="148" t="n">
        <f aca="false">SALARIO_NORMATIVO_SERV</f>
        <v>1217</v>
      </c>
    </row>
    <row r="22" s="1" customFormat="true" ht="16.5" hidden="false" customHeight="true" outlineLevel="0" collapsed="false">
      <c r="B22" s="21" t="s">
        <v>19</v>
      </c>
      <c r="C22" s="25" t="s">
        <v>234</v>
      </c>
      <c r="D22" s="25"/>
      <c r="E22" s="25"/>
      <c r="F22" s="149" t="n">
        <f aca="false">IF(ADIC_INSALUB_SERV="SIM",PERC_ADIC_INSALUB%*SAL_MINIMO,0)</f>
        <v>0</v>
      </c>
    </row>
    <row r="23" customFormat="false" ht="16.5" hidden="false" customHeight="false" outlineLevel="0" collapsed="false">
      <c r="B23" s="21" t="s">
        <v>21</v>
      </c>
      <c r="C23" s="79" t="str">
        <f aca="false">OUTROS_REMUNERACAO_1_DESCRICAO</f>
        <v>Gratificação de função (Apenas para encarregada)</v>
      </c>
      <c r="D23" s="79"/>
      <c r="E23" s="79"/>
      <c r="F23" s="148" t="n">
        <f aca="false">OUTROS_REMUNERACAO_1-'INSERÇÃO-DE-DADOS_MÃO DE OBRA'!F33</f>
        <v>0</v>
      </c>
    </row>
    <row r="24" customFormat="false" ht="15.75" hidden="false" customHeight="true" outlineLevel="0" collapsed="false">
      <c r="B24" s="21" t="s">
        <v>24</v>
      </c>
      <c r="C24" s="50" t="str">
        <f aca="false">OUTROS_REMUNERACAO_2_DESCRICAO</f>
        <v>Outras Remunerações 2 (Especificar)</v>
      </c>
      <c r="D24" s="50"/>
      <c r="E24" s="50"/>
      <c r="F24" s="149" t="n">
        <f aca="false">OUTROS_REMUNERACAO_2</f>
        <v>0</v>
      </c>
    </row>
    <row r="25" customFormat="false" ht="15.75" hidden="false" customHeight="true" outlineLevel="0" collapsed="false">
      <c r="B25" s="21" t="s">
        <v>27</v>
      </c>
      <c r="C25" s="79" t="str">
        <f aca="false">OUTROS_REMUNERACAO_3_DESCRICAO</f>
        <v>Outras Remunerações 3 (Especificar)</v>
      </c>
      <c r="D25" s="79"/>
      <c r="E25" s="79"/>
      <c r="F25" s="148" t="n">
        <f aca="false">OUTROS_REMUNERACAO_3</f>
        <v>0</v>
      </c>
    </row>
    <row r="26" customFormat="false" ht="15.75" hidden="false" customHeight="true" outlineLevel="0" collapsed="false">
      <c r="B26" s="48" t="s">
        <v>63</v>
      </c>
      <c r="C26" s="48"/>
      <c r="D26" s="48"/>
      <c r="E26" s="48"/>
      <c r="F26" s="150" t="n">
        <f aca="false">SUM(F21:F25)</f>
        <v>1217</v>
      </c>
      <c r="L26" s="177"/>
      <c r="M26" s="177"/>
    </row>
    <row r="27" customFormat="false" ht="16.5" hidden="false" customHeight="false" outlineLevel="0" collapsed="false">
      <c r="B27" s="46" t="s">
        <v>57</v>
      </c>
      <c r="E27" s="56"/>
      <c r="F27" s="56"/>
      <c r="L27" s="177"/>
      <c r="M27" s="177"/>
    </row>
    <row r="28" customFormat="false" ht="16.5" hidden="false" customHeight="false" outlineLevel="0" collapsed="false">
      <c r="B28" s="46" t="s">
        <v>192</v>
      </c>
      <c r="C28" s="74"/>
      <c r="D28" s="75"/>
      <c r="E28" s="76"/>
      <c r="F28" s="76"/>
      <c r="L28" s="177"/>
      <c r="M28" s="177"/>
      <c r="N28" s="180"/>
    </row>
    <row r="29" customFormat="false" ht="16.5" hidden="false" customHeight="false" outlineLevel="0" collapsed="false">
      <c r="B29" s="21" t="s">
        <v>193</v>
      </c>
      <c r="C29" s="61" t="s">
        <v>194</v>
      </c>
      <c r="D29" s="61"/>
      <c r="E29" s="49" t="s">
        <v>92</v>
      </c>
      <c r="F29" s="49" t="s">
        <v>104</v>
      </c>
      <c r="L29" s="177"/>
      <c r="M29" s="177"/>
      <c r="N29" s="180"/>
    </row>
    <row r="30" customFormat="false" ht="16.5" hidden="false" customHeight="true" outlineLevel="0" collapsed="false">
      <c r="B30" s="21" t="s">
        <v>17</v>
      </c>
      <c r="C30" s="59" t="s">
        <v>196</v>
      </c>
      <c r="D30" s="59"/>
      <c r="E30" s="117" t="n">
        <f aca="false">PERC_DEC_TERC</f>
        <v>8.33333333333333</v>
      </c>
      <c r="F30" s="113" t="n">
        <f aca="false">PERC_DEC_TERC%*MOD_1_REMUNERACAO_SERV</f>
        <v>101.416666666667</v>
      </c>
      <c r="L30" s="177"/>
      <c r="M30" s="177"/>
      <c r="N30" s="180"/>
    </row>
    <row r="31" customFormat="false" ht="16.5" hidden="false" customHeight="true" outlineLevel="0" collapsed="false">
      <c r="B31" s="49" t="s">
        <v>19</v>
      </c>
      <c r="C31" s="25" t="s">
        <v>198</v>
      </c>
      <c r="D31" s="25"/>
      <c r="E31" s="119" t="n">
        <f aca="false">PERC_ADIC_FERIAS</f>
        <v>2.77777777777778</v>
      </c>
      <c r="F31" s="115" t="n">
        <f aca="false">PERC_ADIC_FERIAS%*MOD_1_REMUNERACAO_SERV</f>
        <v>33.8055555555556</v>
      </c>
      <c r="L31" s="177"/>
      <c r="M31" s="177"/>
      <c r="N31" s="180"/>
    </row>
    <row r="32" customFormat="false" ht="16.5" hidden="false" customHeight="false" outlineLevel="0" collapsed="false">
      <c r="B32" s="61" t="s">
        <v>63</v>
      </c>
      <c r="C32" s="61"/>
      <c r="D32" s="61"/>
      <c r="E32" s="61"/>
      <c r="F32" s="62" t="n">
        <f aca="false">SUM(F30:F31)</f>
        <v>135.222222222222</v>
      </c>
      <c r="L32" s="177"/>
      <c r="M32" s="177"/>
    </row>
    <row r="33" customFormat="false" ht="31.7" hidden="false" customHeight="true" outlineLevel="0" collapsed="false">
      <c r="B33" s="151" t="s">
        <v>58</v>
      </c>
      <c r="C33" s="151"/>
      <c r="D33" s="151"/>
      <c r="E33" s="151"/>
      <c r="F33" s="151"/>
      <c r="L33" s="177"/>
      <c r="M33" s="177"/>
    </row>
    <row r="34" customFormat="false" ht="31.7" hidden="false" customHeight="true" outlineLevel="0" collapsed="false">
      <c r="B34" s="21" t="s">
        <v>59</v>
      </c>
      <c r="C34" s="58" t="s">
        <v>60</v>
      </c>
      <c r="D34" s="58"/>
      <c r="E34" s="49" t="s">
        <v>92</v>
      </c>
      <c r="F34" s="49" t="s">
        <v>104</v>
      </c>
      <c r="L34" s="177"/>
      <c r="M34" s="177"/>
    </row>
    <row r="35" s="118" customFormat="true" ht="16.5" hidden="false" customHeight="true" outlineLevel="0" collapsed="false">
      <c r="B35" s="21" t="s">
        <v>17</v>
      </c>
      <c r="C35" s="59" t="s">
        <v>200</v>
      </c>
      <c r="D35" s="59"/>
      <c r="E35" s="117" t="n">
        <f aca="false">PERC_INSS</f>
        <v>20</v>
      </c>
      <c r="F35" s="113" t="n">
        <f aca="false">PERC_INSS%*(MOD_1_REMUNERACAO_SERV+SUBMOD_2_1_DEC_TERC_ADIC_FERIAS_SERV)</f>
        <v>270.444444444444</v>
      </c>
      <c r="H35" s="177"/>
      <c r="I35" s="177"/>
      <c r="J35" s="177"/>
      <c r="K35" s="177"/>
      <c r="L35" s="177"/>
      <c r="M35" s="177"/>
      <c r="N35" s="178"/>
    </row>
    <row r="36" s="54" customFormat="true" ht="16.5" hidden="false" customHeight="true" outlineLevel="0" collapsed="false">
      <c r="B36" s="49" t="s">
        <v>19</v>
      </c>
      <c r="C36" s="25" t="s">
        <v>201</v>
      </c>
      <c r="D36" s="25"/>
      <c r="E36" s="126" t="n">
        <f aca="false">PERC_SAL_EDUCACAO</f>
        <v>2.5</v>
      </c>
      <c r="F36" s="115" t="n">
        <f aca="false">PERC_SAL_EDUCACAO%*(MOD_1_REMUNERACAO_SERV+SUBMOD_2_1_DEC_TERC_ADIC_FERIAS_SERV)</f>
        <v>33.8055555555556</v>
      </c>
      <c r="H36" s="177"/>
      <c r="I36" s="177"/>
      <c r="J36" s="177"/>
      <c r="K36" s="177"/>
      <c r="L36" s="177"/>
      <c r="M36" s="177"/>
      <c r="N36" s="178"/>
    </row>
    <row r="37" s="54" customFormat="true" ht="16.5" hidden="false" customHeight="true" outlineLevel="0" collapsed="false">
      <c r="B37" s="49" t="s">
        <v>21</v>
      </c>
      <c r="C37" s="59" t="s">
        <v>235</v>
      </c>
      <c r="D37" s="59"/>
      <c r="E37" s="117" t="n">
        <f aca="false">PERC_RAT</f>
        <v>3</v>
      </c>
      <c r="F37" s="113" t="n">
        <f aca="false">PERC_RAT%*(MOD_1_REMUNERACAO_SERV+SUBMOD_2_1_DEC_TERC_ADIC_FERIAS_SERV)</f>
        <v>40.5666666666667</v>
      </c>
      <c r="H37" s="177"/>
      <c r="I37" s="177"/>
      <c r="J37" s="177"/>
      <c r="K37" s="177"/>
      <c r="L37" s="177"/>
      <c r="M37" s="177"/>
      <c r="N37" s="178"/>
    </row>
    <row r="38" s="54" customFormat="true" ht="16.5" hidden="false" customHeight="true" outlineLevel="0" collapsed="false">
      <c r="B38" s="49" t="s">
        <v>24</v>
      </c>
      <c r="C38" s="25" t="s">
        <v>203</v>
      </c>
      <c r="D38" s="25"/>
      <c r="E38" s="119" t="n">
        <f aca="false">PERC_SESC</f>
        <v>1.5</v>
      </c>
      <c r="F38" s="115" t="n">
        <f aca="false">PERC_SESC%*(MOD_1_REMUNERACAO_SERV+SUBMOD_2_1_DEC_TERC_ADIC_FERIAS_SERV)</f>
        <v>20.2833333333333</v>
      </c>
      <c r="H38" s="177"/>
      <c r="I38" s="177"/>
      <c r="J38" s="177"/>
      <c r="K38" s="177"/>
      <c r="L38" s="177"/>
      <c r="M38" s="177"/>
      <c r="N38" s="178"/>
    </row>
    <row r="39" customFormat="false" ht="16.5" hidden="false" customHeight="true" outlineLevel="0" collapsed="false">
      <c r="B39" s="49" t="s">
        <v>27</v>
      </c>
      <c r="C39" s="59" t="s">
        <v>204</v>
      </c>
      <c r="D39" s="59"/>
      <c r="E39" s="117" t="n">
        <f aca="false">PERC_SENAC</f>
        <v>1</v>
      </c>
      <c r="F39" s="113" t="n">
        <f aca="false">PERC_SENAC%*(MOD_1_REMUNERACAO_SERV+SUBMOD_2_1_DEC_TERC_ADIC_FERIAS_SERV)</f>
        <v>13.5222222222222</v>
      </c>
      <c r="L39" s="177"/>
      <c r="M39" s="177"/>
    </row>
    <row r="40" s="3" customFormat="true" ht="16.5" hidden="false" customHeight="true" outlineLevel="0" collapsed="false">
      <c r="B40" s="49" t="s">
        <v>86</v>
      </c>
      <c r="C40" s="25" t="s">
        <v>205</v>
      </c>
      <c r="D40" s="25"/>
      <c r="E40" s="126" t="n">
        <f aca="false">PERC_SEBRAE</f>
        <v>0.6</v>
      </c>
      <c r="F40" s="115" t="n">
        <f aca="false">PERC_SEBRAE%*(MOD_1_REMUNERACAO_SERV+SUBMOD_2_1_DEC_TERC_ADIC_FERIAS_SERV)</f>
        <v>8.11333333333334</v>
      </c>
      <c r="H40" s="178"/>
      <c r="I40" s="178"/>
      <c r="J40" s="178"/>
      <c r="K40" s="178"/>
      <c r="L40" s="178"/>
      <c r="M40" s="178"/>
      <c r="N40" s="178"/>
    </row>
    <row r="41" s="3" customFormat="true" ht="16.5" hidden="false" customHeight="true" outlineLevel="0" collapsed="false">
      <c r="B41" s="49" t="s">
        <v>167</v>
      </c>
      <c r="C41" s="59" t="s">
        <v>206</v>
      </c>
      <c r="D41" s="59"/>
      <c r="E41" s="117" t="n">
        <f aca="false">PERC_INCRA</f>
        <v>0.2</v>
      </c>
      <c r="F41" s="113" t="n">
        <f aca="false">PERC_INCRA%*(MOD_1_REMUNERACAO_SERV+SUBMOD_2_1_DEC_TERC_ADIC_FERIAS_SERV)</f>
        <v>2.70444444444444</v>
      </c>
      <c r="H41" s="178"/>
      <c r="I41" s="178"/>
      <c r="J41" s="178"/>
      <c r="K41" s="178"/>
      <c r="L41" s="178"/>
      <c r="M41" s="178"/>
      <c r="N41" s="178"/>
    </row>
    <row r="42" s="3" customFormat="true" ht="16.5" hidden="false" customHeight="true" outlineLevel="0" collapsed="false">
      <c r="B42" s="49" t="s">
        <v>169</v>
      </c>
      <c r="C42" s="25" t="s">
        <v>207</v>
      </c>
      <c r="D42" s="25"/>
      <c r="E42" s="126" t="n">
        <f aca="false">PERC_FGTS</f>
        <v>8</v>
      </c>
      <c r="F42" s="115" t="n">
        <f aca="false">PERC_FGTS%*(MOD_1_REMUNERACAO_SERV+SUBMOD_2_1_DEC_TERC_ADIC_FERIAS_SERV)</f>
        <v>108.177777777778</v>
      </c>
      <c r="H42" s="178"/>
      <c r="I42" s="178"/>
      <c r="J42" s="178"/>
      <c r="K42" s="178"/>
      <c r="L42" s="178"/>
      <c r="M42" s="178"/>
      <c r="N42" s="178"/>
    </row>
    <row r="43" s="3" customFormat="true" ht="16.5" hidden="false" customHeight="false" outlineLevel="0" collapsed="false">
      <c r="B43" s="61" t="s">
        <v>63</v>
      </c>
      <c r="C43" s="61"/>
      <c r="D43" s="61"/>
      <c r="E43" s="61"/>
      <c r="F43" s="152" t="n">
        <f aca="false">SUM(F35:F42)</f>
        <v>497.617777777778</v>
      </c>
      <c r="H43" s="178"/>
      <c r="I43" s="178"/>
      <c r="J43" s="178"/>
      <c r="K43" s="178"/>
      <c r="L43" s="178"/>
      <c r="M43" s="178"/>
      <c r="N43" s="178"/>
    </row>
    <row r="44" s="13" customFormat="true" ht="16.5" hidden="false" customHeight="false" outlineLevel="0" collapsed="false">
      <c r="B44" s="46" t="s">
        <v>65</v>
      </c>
      <c r="H44" s="178"/>
      <c r="I44" s="178"/>
      <c r="J44" s="178"/>
      <c r="K44" s="178"/>
      <c r="L44" s="178"/>
      <c r="M44" s="178"/>
      <c r="N44" s="178"/>
    </row>
    <row r="45" s="13" customFormat="true" ht="16.5" hidden="false" customHeight="true" outlineLevel="0" collapsed="false">
      <c r="B45" s="21" t="s">
        <v>66</v>
      </c>
      <c r="C45" s="48" t="s">
        <v>67</v>
      </c>
      <c r="D45" s="48"/>
      <c r="E45" s="48"/>
      <c r="F45" s="49" t="s">
        <v>104</v>
      </c>
      <c r="H45" s="181"/>
      <c r="I45" s="181"/>
      <c r="J45" s="181"/>
      <c r="K45" s="181"/>
      <c r="L45" s="181"/>
      <c r="M45" s="181"/>
      <c r="N45" s="181"/>
    </row>
    <row r="46" customFormat="false" ht="16.5" hidden="false" customHeight="true" outlineLevel="0" collapsed="false">
      <c r="B46" s="19" t="s">
        <v>17</v>
      </c>
      <c r="C46" s="59" t="s">
        <v>70</v>
      </c>
      <c r="D46" s="59"/>
      <c r="E46" s="59"/>
      <c r="F46" s="113" t="n">
        <f aca="false">IF(DIAS_TRABALHADOS_NO_MES=15,(TRANSPORTE_POR_DIA*DIAS_TRABALHADOS_NO_MES)-(PERC_DESC_TRANSP_REMUNERACAO%*(AL_1_A_SAL_BASE_SERV/2)),IF(DIAS_TRABALHADOS_NO_MES=22,('INSERÇÃO-DE-DADOS_MÃO DE OBRA'!F49*DIAS_TRABALHADOS_NO_MES)-(PERC_DESC_TRANSP_REMUNERACAO%*(AL_1_A_SAL_BASE_SERV))))</f>
        <v>89.78</v>
      </c>
      <c r="H46" s="181"/>
      <c r="I46" s="181"/>
      <c r="J46" s="181"/>
      <c r="K46" s="181"/>
      <c r="L46" s="181"/>
      <c r="M46" s="181"/>
      <c r="N46" s="181"/>
    </row>
    <row r="47" customFormat="false" ht="16.5" hidden="false" customHeight="true" outlineLevel="0" collapsed="false">
      <c r="B47" s="19" t="s">
        <v>19</v>
      </c>
      <c r="C47" s="25" t="s">
        <v>80</v>
      </c>
      <c r="D47" s="25"/>
      <c r="E47" s="25"/>
      <c r="F47" s="115" t="n">
        <f aca="false">ALIMENTACAO_POR_DIA*DIAS_TRABALHADOS_NO_MES</f>
        <v>272.25</v>
      </c>
      <c r="H47" s="181"/>
      <c r="I47" s="181"/>
      <c r="J47" s="181"/>
      <c r="K47" s="181"/>
      <c r="L47" s="181"/>
      <c r="M47" s="181"/>
      <c r="N47" s="181"/>
    </row>
    <row r="48" customFormat="false" ht="15.75" hidden="false" customHeight="true" outlineLevel="0" collapsed="false">
      <c r="B48" s="19" t="s">
        <v>21</v>
      </c>
      <c r="C48" s="79" t="str">
        <f aca="false">OUTROS_BENEFICIOS_1_DESCRICAO</f>
        <v>Outros benefícios (Especificar)</v>
      </c>
      <c r="D48" s="79"/>
      <c r="E48" s="79"/>
      <c r="F48" s="113" t="n">
        <f aca="false">OUTROS_BENEFICIOS_1</f>
        <v>0</v>
      </c>
      <c r="H48" s="181"/>
      <c r="I48" s="181"/>
      <c r="J48" s="181"/>
      <c r="K48" s="181"/>
      <c r="L48" s="181"/>
      <c r="M48" s="181"/>
      <c r="N48" s="181"/>
    </row>
    <row r="49" customFormat="false" ht="15.75" hidden="false" customHeight="true" outlineLevel="0" collapsed="false">
      <c r="B49" s="19" t="s">
        <v>24</v>
      </c>
      <c r="C49" s="50" t="str">
        <f aca="false">OUTROS_BENEFICIOS_2_DESCRICAO</f>
        <v>Outros benefícios (Especificar)</v>
      </c>
      <c r="D49" s="50"/>
      <c r="E49" s="50"/>
      <c r="F49" s="115" t="n">
        <f aca="false">OUTROS_BENEFICIOS_2</f>
        <v>0</v>
      </c>
      <c r="L49" s="177"/>
      <c r="M49" s="177"/>
      <c r="N49" s="182"/>
    </row>
    <row r="50" customFormat="false" ht="16.5" hidden="false" customHeight="false" outlineLevel="0" collapsed="false">
      <c r="B50" s="19" t="s">
        <v>27</v>
      </c>
      <c r="C50" s="79" t="str">
        <f aca="false">OUTROS_BENEFICIOS_3_DESCRICAO</f>
        <v>Outros benefícios (Especificar)</v>
      </c>
      <c r="D50" s="79"/>
      <c r="E50" s="79"/>
      <c r="F50" s="113" t="n">
        <f aca="false">OUTROS_BENEFICIOS_3</f>
        <v>0</v>
      </c>
      <c r="L50" s="177"/>
      <c r="M50" s="177"/>
      <c r="N50" s="182"/>
    </row>
    <row r="51" s="54" customFormat="true" ht="16.5" hidden="false" customHeight="true" outlineLevel="0" collapsed="false">
      <c r="B51" s="48" t="s">
        <v>63</v>
      </c>
      <c r="C51" s="48"/>
      <c r="D51" s="48"/>
      <c r="E51" s="48"/>
      <c r="F51" s="150" t="n">
        <f aca="false">SUM(F46:F50)</f>
        <v>362.03</v>
      </c>
      <c r="H51" s="177"/>
      <c r="I51" s="177"/>
      <c r="J51" s="177"/>
      <c r="K51" s="177"/>
      <c r="L51" s="177"/>
      <c r="M51" s="177"/>
      <c r="N51" s="182"/>
    </row>
    <row r="52" s="54" customFormat="true" ht="16.5" hidden="false" customHeight="false" outlineLevel="0" collapsed="false">
      <c r="B52" s="46" t="s">
        <v>173</v>
      </c>
      <c r="C52" s="74"/>
      <c r="D52" s="75"/>
      <c r="E52" s="76"/>
      <c r="F52" s="76"/>
      <c r="H52" s="177"/>
      <c r="I52" s="177"/>
      <c r="J52" s="177"/>
      <c r="K52" s="177"/>
      <c r="L52" s="177"/>
      <c r="M52" s="177"/>
      <c r="N52" s="178"/>
    </row>
    <row r="53" s="54" customFormat="true" ht="16.5" hidden="false" customHeight="false" outlineLevel="0" collapsed="false">
      <c r="B53" s="21" t="n">
        <v>3</v>
      </c>
      <c r="C53" s="61" t="s">
        <v>174</v>
      </c>
      <c r="D53" s="61"/>
      <c r="E53" s="49" t="s">
        <v>92</v>
      </c>
      <c r="F53" s="49" t="s">
        <v>104</v>
      </c>
      <c r="H53" s="177"/>
      <c r="I53" s="177"/>
      <c r="J53" s="177"/>
      <c r="K53" s="177"/>
      <c r="L53" s="177"/>
      <c r="M53" s="177"/>
      <c r="N53" s="178"/>
    </row>
    <row r="54" s="54" customFormat="true" ht="16.5" hidden="false" customHeight="false" outlineLevel="0" collapsed="false">
      <c r="B54" s="21" t="s">
        <v>17</v>
      </c>
      <c r="C54" s="124" t="s">
        <v>208</v>
      </c>
      <c r="D54" s="124"/>
      <c r="E54" s="117" t="n">
        <f aca="false">PERC_AVISO_PREVIO_IND</f>
        <v>0.26011</v>
      </c>
      <c r="F54" s="113" t="n">
        <f aca="false">PERC_AVISO_PREVIO_IND%*(MOD_1_REMUNERACAO_SERV+SUBMOD_2_1_DEC_TERC_ADIC_FERIAS_SERV+AL_2_2_FGTS_SERV+SUBMOD_2_3_BENEFICIOS_SERV)</f>
        <v>4.740322673</v>
      </c>
      <c r="H54" s="177"/>
      <c r="I54" s="177"/>
      <c r="J54" s="177"/>
      <c r="K54" s="177"/>
      <c r="L54" s="177"/>
      <c r="M54" s="177"/>
      <c r="N54" s="178"/>
    </row>
    <row r="55" s="54" customFormat="true" ht="15" hidden="false" customHeight="true" outlineLevel="0" collapsed="false">
      <c r="B55" s="49" t="s">
        <v>19</v>
      </c>
      <c r="C55" s="125" t="s">
        <v>210</v>
      </c>
      <c r="D55" s="125"/>
      <c r="E55" s="126" t="n">
        <f aca="false">PERC_AVISO_PREVIO_TRAB</f>
        <v>1.03286322222222</v>
      </c>
      <c r="F55" s="115" t="n">
        <f aca="false">PERC_AVISO_PREVIO_TRAB%*(MOD_1_REMUNERACAO_SERV+SUBMOD_2_1_DEC_TERC_ADIC_FERIAS_SERV+SUBMOD_2_2_GPS_FGTS_SERV+SUBMOD_2_3_BENEFICIOS_SERV)</f>
        <v>22.8455917533666</v>
      </c>
      <c r="H55" s="177"/>
      <c r="I55" s="177"/>
      <c r="J55" s="177"/>
      <c r="K55" s="177"/>
      <c r="L55" s="177"/>
      <c r="M55" s="177"/>
      <c r="N55" s="178"/>
    </row>
    <row r="56" s="54" customFormat="true" ht="32.25" hidden="false" customHeight="true" outlineLevel="0" collapsed="false">
      <c r="B56" s="49" t="s">
        <v>21</v>
      </c>
      <c r="C56" s="124" t="s">
        <v>212</v>
      </c>
      <c r="D56" s="124"/>
      <c r="E56" s="117" t="n">
        <f aca="false">PERC_MULTA_FGTS_AV_PREV_TRAB</f>
        <v>0.04</v>
      </c>
      <c r="F56" s="113" t="n">
        <f aca="false">PERC_MULTA_FGTS_AV_PREV_TRAB%*(MOD_1_REMUNERACAO_SERV+SUBMOD_2_1_DEC_TERC_ADIC_FERIAS_SERV)</f>
        <v>0.540888888888889</v>
      </c>
      <c r="H56" s="177"/>
      <c r="I56" s="177"/>
      <c r="J56" s="177"/>
      <c r="K56" s="177"/>
      <c r="L56" s="177"/>
      <c r="M56" s="177"/>
      <c r="N56" s="178"/>
    </row>
    <row r="57" s="3" customFormat="true" ht="16.5" hidden="false" customHeight="false" outlineLevel="0" collapsed="false">
      <c r="B57" s="61" t="s">
        <v>63</v>
      </c>
      <c r="C57" s="61"/>
      <c r="D57" s="61"/>
      <c r="E57" s="61"/>
      <c r="F57" s="62" t="n">
        <f aca="false">SUM(F54:F56)</f>
        <v>28.1268033152555</v>
      </c>
      <c r="H57" s="177"/>
      <c r="I57" s="177"/>
      <c r="J57" s="177"/>
      <c r="K57" s="177"/>
      <c r="L57" s="177"/>
      <c r="M57" s="177"/>
      <c r="N57" s="178"/>
    </row>
    <row r="58" s="3" customFormat="true" ht="16.5" hidden="false" customHeight="false" outlineLevel="0" collapsed="false">
      <c r="B58" s="46" t="s">
        <v>88</v>
      </c>
      <c r="C58" s="74"/>
      <c r="D58" s="75"/>
      <c r="E58" s="1"/>
      <c r="F58" s="1"/>
      <c r="H58" s="177"/>
      <c r="I58" s="177"/>
      <c r="J58" s="177"/>
      <c r="K58" s="177"/>
      <c r="L58" s="177"/>
      <c r="M58" s="177"/>
      <c r="N58" s="178"/>
    </row>
    <row r="59" s="3" customFormat="true" ht="16.5" hidden="false" customHeight="false" outlineLevel="0" collapsed="false">
      <c r="B59" s="46" t="s">
        <v>89</v>
      </c>
      <c r="C59" s="74"/>
      <c r="D59" s="75"/>
      <c r="E59" s="76"/>
      <c r="F59" s="76"/>
      <c r="H59" s="183"/>
      <c r="I59" s="183"/>
      <c r="J59" s="183"/>
      <c r="K59" s="183"/>
      <c r="L59" s="177"/>
      <c r="M59" s="177"/>
      <c r="N59" s="178"/>
    </row>
    <row r="60" s="3" customFormat="true" ht="16.5" hidden="false" customHeight="true" outlineLevel="0" collapsed="false">
      <c r="B60" s="21" t="s">
        <v>90</v>
      </c>
      <c r="C60" s="48" t="s">
        <v>91</v>
      </c>
      <c r="D60" s="48"/>
      <c r="E60" s="49" t="s">
        <v>92</v>
      </c>
      <c r="F60" s="49" t="s">
        <v>104</v>
      </c>
      <c r="H60" s="183"/>
      <c r="I60" s="183"/>
      <c r="J60" s="183"/>
      <c r="K60" s="183"/>
      <c r="L60" s="177"/>
      <c r="M60" s="177"/>
      <c r="N60" s="178"/>
    </row>
    <row r="61" customFormat="false" ht="16.5" hidden="false" customHeight="true" outlineLevel="0" collapsed="false">
      <c r="B61" s="49" t="s">
        <v>17</v>
      </c>
      <c r="C61" s="59" t="s">
        <v>214</v>
      </c>
      <c r="D61" s="59"/>
      <c r="E61" s="117" t="n">
        <f aca="false">PERC_SUBSTITUTO_FERIAS</f>
        <v>8.33333333333333</v>
      </c>
      <c r="F61" s="113" t="n">
        <f aca="false">PERC_SUBSTITUTO_FERIAS%*(MOD_1_REMUNERACAO_SERV+MOD_2_ENCARGOS_BENEFICIOS_SERV+MOD_3_PROVISAO_RESCISAO_SERV)</f>
        <v>186.666400276271</v>
      </c>
      <c r="H61" s="183"/>
      <c r="I61" s="183"/>
      <c r="J61" s="183"/>
      <c r="K61" s="183"/>
      <c r="L61" s="177"/>
      <c r="M61" s="177"/>
    </row>
    <row r="62" s="3" customFormat="true" ht="15.95" hidden="false" customHeight="true" outlineLevel="0" collapsed="false">
      <c r="B62" s="49" t="s">
        <v>19</v>
      </c>
      <c r="C62" s="25" t="s">
        <v>216</v>
      </c>
      <c r="D62" s="25"/>
      <c r="E62" s="126" t="n">
        <f aca="false">PERC_SUBSTITUTO_AUSENCIAS_LEGAIS</f>
        <v>2.22222222222222</v>
      </c>
      <c r="F62" s="115" t="n">
        <f aca="false">PERC_SUBSTITUTO_AUSENCIAS_LEGAIS%*(MOD_1_REMUNERACAO_SERV+MOD_2_ENCARGOS_BENEFICIOS_SERV+MOD_3_PROVISAO_RESCISAO_SERV)</f>
        <v>49.777706740339</v>
      </c>
      <c r="H62" s="183"/>
      <c r="I62" s="183"/>
      <c r="J62" s="183"/>
      <c r="K62" s="183"/>
      <c r="L62" s="177"/>
      <c r="M62" s="177"/>
      <c r="N62" s="178"/>
    </row>
    <row r="63" s="3" customFormat="true" ht="15.95" hidden="false" customHeight="true" outlineLevel="0" collapsed="false">
      <c r="B63" s="49" t="s">
        <v>21</v>
      </c>
      <c r="C63" s="59" t="s">
        <v>218</v>
      </c>
      <c r="D63" s="59"/>
      <c r="E63" s="117" t="n">
        <f aca="false">PERC_SUBSTITUTO_LICENCA_PATERNIDADE</f>
        <v>0.0356735555555555</v>
      </c>
      <c r="F63" s="113" t="n">
        <f aca="false">PERC_SUBSTITUTO_LICENCA_PATERNIDADE%*(MOD_1_REMUNERACAO_SERV+MOD_2_ENCARGOS_BENEFICIOS_SERV+MOD_3_PROVISAO_RESCISAO_SERV)</f>
        <v>0.799086504073335</v>
      </c>
      <c r="H63" s="183"/>
      <c r="I63" s="183"/>
      <c r="J63" s="183"/>
      <c r="K63" s="183"/>
      <c r="L63" s="177"/>
      <c r="M63" s="177"/>
      <c r="N63" s="183"/>
    </row>
    <row r="64" s="3" customFormat="true" ht="16.5" hidden="false" customHeight="true" outlineLevel="0" collapsed="false">
      <c r="B64" s="49" t="s">
        <v>24</v>
      </c>
      <c r="C64" s="25" t="s">
        <v>220</v>
      </c>
      <c r="D64" s="25"/>
      <c r="E64" s="126" t="n">
        <f aca="false">PERC_SUBSTITUTO_ACID_TRAB</f>
        <v>0.0185302229372558</v>
      </c>
      <c r="F64" s="115" t="n">
        <f aca="false">PERC_SUBSTITUTO_ACID_TRAB%*(MOD_1_REMUNERACAO_SERV+MOD_2_ENCARGOS_BENEFICIOS_SERV+MOD_3_PROVISAO_RESCISAO_SERV)</f>
        <v>0.41507640144172</v>
      </c>
      <c r="H64" s="183"/>
      <c r="I64" s="183"/>
      <c r="J64" s="183"/>
      <c r="K64" s="183"/>
      <c r="L64" s="177"/>
      <c r="M64" s="177"/>
      <c r="N64" s="183"/>
    </row>
    <row r="65" s="3" customFormat="true" ht="15.95" hidden="false" customHeight="true" outlineLevel="0" collapsed="false">
      <c r="B65" s="49" t="s">
        <v>27</v>
      </c>
      <c r="C65" s="59" t="s">
        <v>222</v>
      </c>
      <c r="D65" s="59"/>
      <c r="E65" s="117" t="n">
        <f aca="false">PERC_SUBSTITUTO_AFAST_MATERN</f>
        <v>0.1427260032</v>
      </c>
      <c r="F65" s="113" t="n">
        <f aca="false">PERC_SUBSTITUTO_AFAST_MATERN%*(MOD_1_REMUNERACAO_SERV+MOD_2_ENCARGOS_BENEFICIOS_SERV+MOD_3_PROVISAO_RESCISAO_SERV)</f>
        <v>3.19705790917963</v>
      </c>
      <c r="H65" s="183"/>
      <c r="I65" s="183"/>
      <c r="J65" s="183"/>
      <c r="K65" s="183"/>
      <c r="L65" s="177"/>
      <c r="M65" s="177"/>
      <c r="N65" s="183"/>
    </row>
    <row r="66" s="3" customFormat="true" ht="15.95" hidden="false" customHeight="true" outlineLevel="0" collapsed="false">
      <c r="B66" s="49" t="s">
        <v>86</v>
      </c>
      <c r="C66" s="153" t="str">
        <f aca="false">OUTRAS_AUSENCIAS_DESCRICAO</f>
        <v>Outras Ausências (Especificar em %)</v>
      </c>
      <c r="D66" s="153"/>
      <c r="E66" s="154" t="n">
        <f aca="false">PERC_SUBSTITUTO_OUTRAS_AUSENCIAS</f>
        <v>0</v>
      </c>
      <c r="F66" s="115" t="n">
        <f aca="false">PERC_SUBSTITUTO_OUTRAS_AUSENCIAS%*(MOD_1_REMUNERACAO_SERV+MOD_2_ENCARGOS_BENEFICIOS_SERV+MOD_3_PROVISAO_RESCISAO_SERV)</f>
        <v>0</v>
      </c>
      <c r="H66" s="183"/>
      <c r="I66" s="183"/>
      <c r="J66" s="183"/>
      <c r="K66" s="183"/>
      <c r="L66" s="177"/>
      <c r="M66" s="177"/>
      <c r="N66" s="183"/>
    </row>
    <row r="67" s="3" customFormat="true" ht="15.95" hidden="false" customHeight="true" outlineLevel="0" collapsed="false">
      <c r="B67" s="61" t="s">
        <v>63</v>
      </c>
      <c r="C67" s="61"/>
      <c r="D67" s="61"/>
      <c r="E67" s="61"/>
      <c r="F67" s="62" t="n">
        <f aca="false">SUM(F61:F66)</f>
        <v>240.855327831305</v>
      </c>
      <c r="H67" s="183"/>
      <c r="I67" s="183"/>
      <c r="J67" s="183"/>
      <c r="K67" s="183"/>
      <c r="L67" s="177"/>
      <c r="M67" s="177"/>
      <c r="N67" s="183"/>
    </row>
    <row r="68" s="3" customFormat="true" ht="16.5" hidden="false" customHeight="false" outlineLevel="0" collapsed="false">
      <c r="B68" s="46" t="s">
        <v>94</v>
      </c>
      <c r="C68" s="74"/>
      <c r="D68" s="75"/>
      <c r="E68" s="76"/>
      <c r="F68" s="76"/>
      <c r="H68" s="183"/>
      <c r="I68" s="183"/>
      <c r="J68" s="183"/>
      <c r="K68" s="183"/>
      <c r="L68" s="177"/>
      <c r="M68" s="177"/>
      <c r="N68" s="183"/>
    </row>
    <row r="69" s="3" customFormat="true" ht="16.5" hidden="false" customHeight="false" outlineLevel="0" collapsed="false">
      <c r="B69" s="21" t="s">
        <v>95</v>
      </c>
      <c r="C69" s="61" t="s">
        <v>96</v>
      </c>
      <c r="D69" s="61"/>
      <c r="E69" s="61"/>
      <c r="F69" s="49" t="s">
        <v>104</v>
      </c>
      <c r="H69" s="183"/>
      <c r="I69" s="183"/>
      <c r="J69" s="183"/>
      <c r="K69" s="183"/>
      <c r="L69" s="177"/>
      <c r="M69" s="177"/>
      <c r="N69" s="183"/>
    </row>
    <row r="70" s="3" customFormat="true" ht="16.5" hidden="false" customHeight="true" outlineLevel="0" collapsed="false">
      <c r="B70" s="21" t="s">
        <v>17</v>
      </c>
      <c r="C70" s="59" t="s">
        <v>236</v>
      </c>
      <c r="D70" s="59"/>
      <c r="E70" s="59"/>
      <c r="F70" s="148" t="n">
        <f aca="false">IF(DIAS_TRABALHADOS_NO_MES=15,((MOD_1_REMUNERACAO_SERV+MOD_2_ENCARGOS_BENEFICIOS_SERV+MOD_3_PROVISAO_RESCISAO_SERV)/DIVISOR_DE_HORAS)*((TEMPO_INTERVALO_REFEICAO/HORA_NORMAL)+PERC_HORA_EXTRA%)*DIAS_TRABALHADOS_NO_MES,0)</f>
        <v>0</v>
      </c>
      <c r="H70" s="183"/>
      <c r="I70" s="183"/>
      <c r="J70" s="183"/>
      <c r="K70" s="183"/>
      <c r="L70" s="177"/>
      <c r="M70" s="177"/>
      <c r="N70" s="183"/>
    </row>
    <row r="71" s="3" customFormat="true" ht="16.5" hidden="false" customHeight="false" outlineLevel="0" collapsed="false">
      <c r="B71" s="61" t="s">
        <v>63</v>
      </c>
      <c r="C71" s="61"/>
      <c r="D71" s="61"/>
      <c r="E71" s="61"/>
      <c r="F71" s="62" t="n">
        <f aca="false">SUM(F70)</f>
        <v>0</v>
      </c>
      <c r="H71" s="183"/>
      <c r="I71" s="183"/>
      <c r="J71" s="183"/>
      <c r="K71" s="183"/>
      <c r="L71" s="177"/>
      <c r="M71" s="177"/>
      <c r="N71" s="183"/>
    </row>
    <row r="72" s="3" customFormat="true" ht="16.5" hidden="false" customHeight="false" outlineLevel="0" collapsed="false">
      <c r="B72" s="46" t="s">
        <v>101</v>
      </c>
      <c r="C72" s="74"/>
      <c r="D72" s="74"/>
      <c r="E72" s="76"/>
      <c r="F72" s="76"/>
      <c r="H72" s="183"/>
      <c r="I72" s="183"/>
      <c r="J72" s="183"/>
      <c r="K72" s="183"/>
      <c r="L72" s="177"/>
      <c r="M72" s="177"/>
      <c r="N72" s="183"/>
    </row>
    <row r="73" s="3" customFormat="true" ht="16.5" hidden="false" customHeight="true" outlineLevel="0" collapsed="false">
      <c r="B73" s="80" t="n">
        <v>5</v>
      </c>
      <c r="C73" s="155" t="s">
        <v>103</v>
      </c>
      <c r="D73" s="155"/>
      <c r="E73" s="155"/>
      <c r="F73" s="156" t="s">
        <v>104</v>
      </c>
      <c r="H73" s="177"/>
      <c r="I73" s="177"/>
      <c r="J73" s="177"/>
      <c r="K73" s="177"/>
      <c r="L73" s="177"/>
      <c r="M73" s="177"/>
      <c r="N73" s="183"/>
    </row>
    <row r="74" s="3" customFormat="true" ht="16.5" hidden="false" customHeight="true" outlineLevel="0" collapsed="false">
      <c r="B74" s="157" t="s">
        <v>17</v>
      </c>
      <c r="C74" s="158" t="s">
        <v>237</v>
      </c>
      <c r="D74" s="158"/>
      <c r="E74" s="158"/>
      <c r="F74" s="159" t="n">
        <f aca="false">UNIFORMES!I14</f>
        <v>64.2841666666667</v>
      </c>
      <c r="H74" s="177"/>
      <c r="I74" s="177"/>
      <c r="J74" s="177"/>
      <c r="K74" s="177"/>
      <c r="L74" s="177"/>
      <c r="M74" s="177"/>
      <c r="N74" s="183"/>
    </row>
    <row r="75" customFormat="false" ht="16.5" hidden="false" customHeight="true" outlineLevel="0" collapsed="false">
      <c r="B75" s="157" t="s">
        <v>19</v>
      </c>
      <c r="C75" s="160" t="s">
        <v>238</v>
      </c>
      <c r="D75" s="160"/>
      <c r="E75" s="160"/>
      <c r="F75" s="161" t="n">
        <f aca="false">'MATERIAIS E EQUIPAMENTOS'!K44+'MATERIAIS E EQUIPAMENTOS'!K74</f>
        <v>972.919916666667</v>
      </c>
      <c r="L75" s="177"/>
      <c r="M75" s="177"/>
      <c r="N75" s="183"/>
    </row>
    <row r="76" customFormat="false" ht="16.5" hidden="false" customHeight="true" outlineLevel="0" collapsed="false">
      <c r="B76" s="157" t="s">
        <v>21</v>
      </c>
      <c r="C76" s="158" t="s">
        <v>239</v>
      </c>
      <c r="D76" s="158"/>
      <c r="E76" s="158"/>
      <c r="F76" s="159" t="n">
        <f aca="false">'MATERIAIS E EQUIPAMENTOS'!K96</f>
        <v>27.4301866666667</v>
      </c>
      <c r="L76" s="177"/>
      <c r="M76" s="177"/>
      <c r="N76" s="183"/>
    </row>
    <row r="77" customFormat="false" ht="15.75" hidden="false" customHeight="true" outlineLevel="0" collapsed="false">
      <c r="B77" s="157" t="s">
        <v>24</v>
      </c>
      <c r="C77" s="162" t="str">
        <f aca="false">'SERVENTE CG'!C78</f>
        <v>Outros Insumos</v>
      </c>
      <c r="D77" s="162"/>
      <c r="E77" s="162"/>
      <c r="F77" s="161"/>
      <c r="L77" s="177"/>
      <c r="M77" s="177"/>
      <c r="N77" s="177"/>
    </row>
    <row r="78" customFormat="false" ht="16.5" hidden="false" customHeight="true" outlineLevel="0" collapsed="false">
      <c r="B78" s="155" t="s">
        <v>63</v>
      </c>
      <c r="C78" s="155"/>
      <c r="D78" s="155"/>
      <c r="E78" s="155"/>
      <c r="F78" s="163" t="n">
        <f aca="false">SUM(F74:F77)</f>
        <v>1064.63427</v>
      </c>
      <c r="L78" s="177"/>
      <c r="M78" s="177"/>
    </row>
    <row r="79" customFormat="false" ht="16.5" hidden="false" customHeight="true" outlineLevel="0" collapsed="false">
      <c r="B79" s="57" t="s">
        <v>105</v>
      </c>
      <c r="C79" s="57"/>
      <c r="D79" s="57"/>
      <c r="E79" s="57"/>
      <c r="F79" s="57"/>
      <c r="L79" s="177"/>
      <c r="M79" s="177"/>
    </row>
    <row r="80" customFormat="false" ht="16.4" hidden="false" customHeight="false" outlineLevel="0" collapsed="false">
      <c r="B80" s="21" t="n">
        <v>6</v>
      </c>
      <c r="C80" s="61" t="s">
        <v>241</v>
      </c>
      <c r="D80" s="61"/>
      <c r="E80" s="49" t="s">
        <v>92</v>
      </c>
      <c r="F80" s="49" t="s">
        <v>104</v>
      </c>
      <c r="L80" s="177"/>
      <c r="M80" s="177"/>
    </row>
    <row r="81" customFormat="false" ht="16.5" hidden="false" customHeight="true" outlineLevel="0" collapsed="false">
      <c r="B81" s="21" t="s">
        <v>17</v>
      </c>
      <c r="C81" s="59" t="s">
        <v>111</v>
      </c>
      <c r="D81" s="59"/>
      <c r="E81" s="164" t="n">
        <f aca="false">'INSERÇÃO-DE-DADOS_MÃO DE OBRA'!G71</f>
        <v>4.73</v>
      </c>
      <c r="F81" s="113" t="n">
        <f aca="false">E81%*(MOD_1_REMUNERACAO_SERV+MOD_2_ENCARGOS_BENEFICIOS_SERV+MOD_3_PROVISAO_RESCISAO_SERV+MOD_4_CUSTO_REPOSICAO_SERV+MOD_5_INSUMOS_SERV)</f>
        <v>167.701506774232</v>
      </c>
      <c r="L81" s="177"/>
      <c r="M81" s="177"/>
    </row>
    <row r="82" customFormat="false" ht="16.5" hidden="false" customHeight="true" outlineLevel="0" collapsed="false">
      <c r="B82" s="49" t="s">
        <v>19</v>
      </c>
      <c r="C82" s="25" t="s">
        <v>112</v>
      </c>
      <c r="D82" s="25"/>
      <c r="E82" s="165" t="n">
        <f aca="false">'INSERÇÃO-DE-DADOS_MÃO DE OBRA'!G72</f>
        <v>5.57</v>
      </c>
      <c r="F82" s="115" t="n">
        <f aca="false">E82%*(MOD_1_REMUNERACAO_SERV+MOD_2_ENCARGOS_BENEFICIOS_SERV+MOD_3_PROVISAO_RESCISAO_SERV+MOD_4_CUSTO_REPOSICAO_SERV+MOD_5_INSUMOS_SERV+AL_6_A_CUSTOS_INDIRETOS_SERV)</f>
        <v>206.824566471188</v>
      </c>
      <c r="L82" s="177"/>
      <c r="M82" s="177"/>
    </row>
    <row r="83" customFormat="false" ht="15" hidden="false" customHeight="true" outlineLevel="0" collapsed="false">
      <c r="B83" s="49" t="s">
        <v>21</v>
      </c>
      <c r="C83" s="59" t="s">
        <v>242</v>
      </c>
      <c r="D83" s="59"/>
      <c r="E83" s="164" t="n">
        <f aca="false">SUM(E84:E86)</f>
        <v>8.65</v>
      </c>
      <c r="F83" s="113" t="n">
        <f aca="false">SUM(F84:F86)</f>
        <v>371.188920673132</v>
      </c>
      <c r="L83" s="177"/>
      <c r="M83" s="177"/>
    </row>
    <row r="84" customFormat="false" ht="16.5" hidden="false" customHeight="true" outlineLevel="0" collapsed="false">
      <c r="B84" s="87" t="s">
        <v>113</v>
      </c>
      <c r="C84" s="166" t="s">
        <v>114</v>
      </c>
      <c r="D84" s="166"/>
      <c r="E84" s="167" t="n">
        <f aca="false">'INSERÇÃO-DE-DADOS_MÃO DE OBRA'!G73</f>
        <v>0.65</v>
      </c>
      <c r="F84" s="168" t="n">
        <f aca="false">((MOD_1_REMUNERACAO_SERV+MOD_2_ENCARGOS_BENEFICIOS_SERV+MOD_3_PROVISAO_RESCISAO_SERV+MOD_4_CUSTO_REPOSICAO_SERV+MOD_5_INSUMOS_SERV+AL_6_A_CUSTOS_INDIRETOS_SERV+AL_6_B_LUCRO_SERV)*E84%)/(1-PERC_TRIBUTOS%)</f>
        <v>27.8928090679232</v>
      </c>
      <c r="L84" s="177"/>
      <c r="M84" s="177"/>
    </row>
    <row r="85" customFormat="false" ht="16.5" hidden="false" customHeight="true" outlineLevel="0" collapsed="false">
      <c r="B85" s="87" t="s">
        <v>115</v>
      </c>
      <c r="C85" s="169" t="s">
        <v>116</v>
      </c>
      <c r="D85" s="169"/>
      <c r="E85" s="170" t="n">
        <f aca="false">'INSERÇÃO-DE-DADOS_MÃO DE OBRA'!G74</f>
        <v>3</v>
      </c>
      <c r="F85" s="171" t="n">
        <f aca="false">((MOD_1_REMUNERACAO_SERV+MOD_2_ENCARGOS_BENEFICIOS_SERV+MOD_3_PROVISAO_RESCISAO_SERV+MOD_4_CUSTO_REPOSICAO_SERV+MOD_5_INSUMOS_SERV+AL_6_A_CUSTOS_INDIRETOS_SERV+AL_6_B_LUCRO_SERV)*E85%)/(1-PERC_TRIBUTOS%)</f>
        <v>128.736041851953</v>
      </c>
      <c r="L85" s="177"/>
      <c r="M85" s="177"/>
    </row>
    <row r="86" customFormat="false" ht="15.75" hidden="false" customHeight="true" outlineLevel="0" collapsed="false">
      <c r="B86" s="87" t="s">
        <v>117</v>
      </c>
      <c r="C86" s="166" t="s">
        <v>118</v>
      </c>
      <c r="D86" s="166"/>
      <c r="E86" s="167" t="n">
        <f aca="false">'INSERÇÃO-DE-DADOS_MÃO DE OBRA'!G75</f>
        <v>5</v>
      </c>
      <c r="F86" s="168" t="n">
        <f aca="false">((MOD_1_REMUNERACAO_SERV+MOD_2_ENCARGOS_BENEFICIOS_SERV+MOD_3_PROVISAO_RESCISAO_SERV+MOD_4_CUSTO_REPOSICAO_SERV+MOD_5_INSUMOS_SERV+AL_6_A_CUSTOS_INDIRETOS_SERV+AL_6_B_LUCRO_SERV)*E86%)/(1-PERC_TRIBUTOS%)</f>
        <v>214.560069753256</v>
      </c>
      <c r="L86" s="177"/>
      <c r="M86" s="177"/>
    </row>
    <row r="87" customFormat="false" ht="16.4" hidden="false" customHeight="false" outlineLevel="0" collapsed="false">
      <c r="B87" s="61" t="s">
        <v>63</v>
      </c>
      <c r="C87" s="61"/>
      <c r="D87" s="61"/>
      <c r="E87" s="61"/>
      <c r="F87" s="172" t="n">
        <f aca="false">AL_6_A_CUSTOS_INDIRETOS_SERV+AL_6_B_LUCRO_SERV+AL_6_C_TRIBUTOS_SERV</f>
        <v>745.714993918553</v>
      </c>
      <c r="L87" s="177"/>
      <c r="M87" s="177"/>
    </row>
    <row r="88" customFormat="false" ht="15.75" hidden="false" customHeight="true" outlineLevel="0" collapsed="false">
      <c r="B88" s="173" t="s">
        <v>243</v>
      </c>
      <c r="C88" s="174"/>
      <c r="D88" s="174"/>
      <c r="E88" s="174"/>
      <c r="F88" s="175"/>
      <c r="L88" s="177"/>
      <c r="M88" s="177"/>
    </row>
    <row r="89" customFormat="false" ht="16.5" hidden="false" customHeight="true" outlineLevel="0" collapsed="false">
      <c r="B89" s="49" t="s">
        <v>244</v>
      </c>
      <c r="C89" s="48" t="s">
        <v>245</v>
      </c>
      <c r="D89" s="48"/>
      <c r="E89" s="48"/>
      <c r="F89" s="49" t="s">
        <v>246</v>
      </c>
      <c r="L89" s="177"/>
      <c r="M89" s="177"/>
    </row>
    <row r="90" s="81" customFormat="true" ht="16.5" hidden="false" customHeight="true" outlineLevel="0" collapsed="false">
      <c r="B90" s="21" t="n">
        <v>1</v>
      </c>
      <c r="C90" s="59" t="s">
        <v>51</v>
      </c>
      <c r="D90" s="59"/>
      <c r="E90" s="59"/>
      <c r="F90" s="113" t="n">
        <f aca="false">MOD_1_REMUNERACAO_SERV</f>
        <v>1217</v>
      </c>
      <c r="G90" s="176"/>
      <c r="H90" s="177"/>
      <c r="I90" s="177"/>
      <c r="J90" s="177"/>
      <c r="K90" s="177"/>
      <c r="L90" s="177"/>
      <c r="M90" s="177"/>
      <c r="N90" s="178"/>
    </row>
    <row r="91" s="81" customFormat="true" ht="16.5" hidden="false" customHeight="true" outlineLevel="0" collapsed="false">
      <c r="B91" s="49" t="n">
        <v>2</v>
      </c>
      <c r="C91" s="25" t="s">
        <v>247</v>
      </c>
      <c r="D91" s="25"/>
      <c r="E91" s="25"/>
      <c r="F91" s="115" t="n">
        <f aca="false">MOD_2_ENCARGOS_BENEFICIOS_SERV</f>
        <v>994.87</v>
      </c>
      <c r="H91" s="177"/>
      <c r="I91" s="177"/>
      <c r="J91" s="177"/>
      <c r="K91" s="177"/>
      <c r="L91" s="177"/>
      <c r="M91" s="177"/>
      <c r="N91" s="178"/>
    </row>
    <row r="92" s="81" customFormat="true" ht="16.5" hidden="false" customHeight="true" outlineLevel="0" collapsed="false">
      <c r="B92" s="49" t="n">
        <v>3</v>
      </c>
      <c r="C92" s="59" t="s">
        <v>174</v>
      </c>
      <c r="D92" s="59"/>
      <c r="E92" s="59"/>
      <c r="F92" s="113" t="n">
        <f aca="false">MOD_3_PROVISAO_RESCISAO_SERV</f>
        <v>28.1268033152555</v>
      </c>
      <c r="H92" s="226"/>
      <c r="I92" s="177"/>
      <c r="J92" s="177"/>
      <c r="K92" s="177"/>
      <c r="L92" s="177"/>
      <c r="M92" s="177"/>
      <c r="N92" s="178"/>
    </row>
    <row r="93" s="83" customFormat="true" ht="16.5" hidden="false" customHeight="true" outlineLevel="0" collapsed="false">
      <c r="B93" s="49" t="n">
        <v>4</v>
      </c>
      <c r="C93" s="25" t="s">
        <v>248</v>
      </c>
      <c r="D93" s="25"/>
      <c r="E93" s="25"/>
      <c r="F93" s="115" t="n">
        <f aca="false">MOD_4_CUSTO_REPOSICAO_SERV</f>
        <v>240.855327831305</v>
      </c>
      <c r="H93" s="226"/>
      <c r="I93" s="177"/>
      <c r="J93" s="177"/>
      <c r="K93" s="177"/>
      <c r="L93" s="177"/>
      <c r="M93" s="177"/>
      <c r="N93" s="178"/>
    </row>
    <row r="94" s="81" customFormat="true" ht="16.5" hidden="false" customHeight="true" outlineLevel="0" collapsed="false">
      <c r="B94" s="49" t="n">
        <v>5</v>
      </c>
      <c r="C94" s="59" t="s">
        <v>103</v>
      </c>
      <c r="D94" s="59"/>
      <c r="E94" s="59"/>
      <c r="F94" s="113" t="n">
        <f aca="false">MOD_5_INSUMOS_SERV</f>
        <v>1064.63427</v>
      </c>
      <c r="H94" s="226"/>
      <c r="I94" s="177"/>
      <c r="J94" s="177"/>
      <c r="K94" s="177"/>
      <c r="L94" s="177"/>
      <c r="M94" s="177"/>
      <c r="N94" s="178"/>
    </row>
    <row r="95" s="82" customFormat="true" ht="16.5" hidden="false" customHeight="true" outlineLevel="0" collapsed="false">
      <c r="B95" s="49" t="n">
        <v>6</v>
      </c>
      <c r="C95" s="25" t="s">
        <v>241</v>
      </c>
      <c r="D95" s="25"/>
      <c r="E95" s="25"/>
      <c r="F95" s="115" t="n">
        <f aca="false">MOD_6_CUSTOS_IND_LUCRO_TRIB_SERV</f>
        <v>745.714993918553</v>
      </c>
      <c r="H95" s="226"/>
      <c r="I95" s="177"/>
      <c r="J95" s="177"/>
      <c r="K95" s="177"/>
      <c r="L95" s="177"/>
      <c r="M95" s="177"/>
      <c r="N95" s="178"/>
    </row>
    <row r="96" s="82" customFormat="true" ht="16.5" hidden="false" customHeight="true" outlineLevel="0" collapsed="false">
      <c r="B96" s="48" t="s">
        <v>252</v>
      </c>
      <c r="C96" s="48"/>
      <c r="D96" s="48"/>
      <c r="E96" s="48"/>
      <c r="F96" s="172" t="n">
        <f aca="false">SUM(F90:F95)</f>
        <v>4291.20139506511</v>
      </c>
      <c r="H96" s="177"/>
      <c r="I96" s="177"/>
      <c r="J96" s="177"/>
      <c r="K96" s="177"/>
      <c r="L96" s="177"/>
      <c r="M96" s="177"/>
      <c r="N96" s="178"/>
    </row>
    <row r="97" s="82" customFormat="true" ht="13.8" hidden="false" customHeight="false" outlineLevel="0" collapsed="false">
      <c r="B97" s="1"/>
      <c r="C97" s="1"/>
      <c r="D97" s="1"/>
      <c r="E97" s="1"/>
      <c r="F97" s="1"/>
      <c r="H97" s="226"/>
      <c r="I97" s="177"/>
      <c r="J97" s="177"/>
      <c r="K97" s="177"/>
      <c r="L97" s="177"/>
      <c r="M97" s="177"/>
      <c r="N97" s="178"/>
    </row>
    <row r="98" customFormat="false" ht="16.5" hidden="false" customHeight="true" outlineLevel="0" collapsed="false">
      <c r="L98" s="177"/>
      <c r="M98" s="177"/>
    </row>
    <row r="99" customFormat="false" ht="16.5" hidden="false" customHeight="true" outlineLevel="0" collapsed="false">
      <c r="L99" s="177"/>
      <c r="M99" s="177"/>
    </row>
    <row r="100" customFormat="false" ht="16.5" hidden="false" customHeight="false" outlineLevel="0" collapsed="false">
      <c r="L100" s="177"/>
      <c r="M100" s="177"/>
    </row>
    <row r="101" customFormat="false" ht="16.5" hidden="false" customHeight="false" outlineLevel="0" collapsed="false">
      <c r="L101" s="177"/>
      <c r="M101" s="177"/>
    </row>
    <row r="102" customFormat="false" ht="16.5" hidden="false" customHeight="false" outlineLevel="0" collapsed="false">
      <c r="L102" s="177"/>
      <c r="M102" s="177"/>
    </row>
    <row r="103" customFormat="false" ht="16.5" hidden="false" customHeight="false" outlineLevel="0" collapsed="false">
      <c r="L103" s="177"/>
      <c r="M103" s="177"/>
    </row>
    <row r="104" customFormat="false" ht="16.5" hidden="false" customHeight="false" outlineLevel="0" collapsed="false">
      <c r="L104" s="177"/>
      <c r="M104" s="177"/>
    </row>
    <row r="105" customFormat="false" ht="16.5" hidden="false" customHeight="false" outlineLevel="0" collapsed="false">
      <c r="L105" s="177"/>
      <c r="M105" s="177"/>
    </row>
    <row r="106" customFormat="false" ht="16.5" hidden="false" customHeight="false" outlineLevel="0" collapsed="false">
      <c r="L106" s="177"/>
      <c r="M106" s="177"/>
      <c r="N106" s="177"/>
    </row>
    <row r="107" customFormat="false" ht="16.5" hidden="false" customHeight="false" outlineLevel="0" collapsed="false">
      <c r="L107" s="177"/>
      <c r="M107" s="177"/>
      <c r="N107" s="177"/>
    </row>
    <row r="108" customFormat="false" ht="16.5" hidden="false" customHeight="false" outlineLevel="0" collapsed="false">
      <c r="L108" s="177"/>
      <c r="M108" s="177"/>
      <c r="N108" s="177"/>
    </row>
    <row r="109" customFormat="false" ht="16.5" hidden="false" customHeight="false" outlineLevel="0" collapsed="false">
      <c r="L109" s="177"/>
      <c r="M109" s="177"/>
      <c r="N109" s="177"/>
    </row>
    <row r="110" customFormat="false" ht="16.5" hidden="false" customHeight="false" outlineLevel="0" collapsed="false">
      <c r="L110" s="177"/>
      <c r="M110" s="177"/>
      <c r="N110" s="177"/>
    </row>
    <row r="111" customFormat="false" ht="16.5" hidden="false" customHeight="false" outlineLevel="0" collapsed="false">
      <c r="L111" s="177"/>
      <c r="M111" s="177"/>
      <c r="N111" s="177"/>
    </row>
    <row r="112" customFormat="false" ht="16.5" hidden="false" customHeight="false" outlineLevel="0" collapsed="false">
      <c r="L112" s="177"/>
      <c r="M112" s="177"/>
      <c r="N112" s="177"/>
    </row>
    <row r="113" customFormat="false" ht="16.5" hidden="false" customHeight="false" outlineLevel="0" collapsed="false">
      <c r="H113" s="184"/>
      <c r="I113" s="184"/>
      <c r="J113" s="184"/>
      <c r="K113" s="184"/>
      <c r="L113" s="184"/>
      <c r="M113" s="184"/>
      <c r="N113" s="184"/>
    </row>
    <row r="114" customFormat="false" ht="16.5" hidden="false" customHeight="false" outlineLevel="0" collapsed="false">
      <c r="H114" s="184"/>
      <c r="I114" s="184"/>
      <c r="J114" s="184"/>
      <c r="K114" s="184"/>
      <c r="L114" s="184"/>
      <c r="M114" s="184"/>
      <c r="N114" s="184"/>
    </row>
    <row r="115" customFormat="false" ht="16.5" hidden="false" customHeight="false" outlineLevel="0" collapsed="false">
      <c r="H115" s="184"/>
      <c r="I115" s="184"/>
      <c r="J115" s="184"/>
      <c r="K115" s="184"/>
      <c r="L115" s="184"/>
      <c r="M115" s="184"/>
      <c r="N115" s="184"/>
    </row>
    <row r="116" customFormat="false" ht="16.5" hidden="false" customHeight="false" outlineLevel="0" collapsed="false">
      <c r="H116" s="184"/>
      <c r="I116" s="184"/>
      <c r="J116" s="184"/>
      <c r="K116" s="184"/>
      <c r="L116" s="184"/>
      <c r="M116" s="184"/>
      <c r="N116" s="184"/>
    </row>
    <row r="117" customFormat="false" ht="16.5" hidden="false" customHeight="false" outlineLevel="0" collapsed="false">
      <c r="H117" s="184"/>
      <c r="I117" s="184"/>
      <c r="J117" s="184"/>
      <c r="K117" s="184"/>
      <c r="L117" s="184"/>
      <c r="M117" s="184"/>
      <c r="N117" s="184"/>
    </row>
    <row r="118" customFormat="false" ht="16.5" hidden="false" customHeight="false" outlineLevel="0" collapsed="false">
      <c r="H118" s="185"/>
      <c r="I118" s="185"/>
      <c r="J118" s="185"/>
      <c r="K118" s="185"/>
      <c r="L118" s="185"/>
      <c r="M118" s="185"/>
      <c r="N118" s="185"/>
    </row>
    <row r="119" customFormat="false" ht="16.5" hidden="false" customHeight="false" outlineLevel="0" collapsed="false">
      <c r="H119" s="184"/>
      <c r="I119" s="184"/>
      <c r="J119" s="184"/>
      <c r="K119" s="184"/>
      <c r="L119" s="184"/>
      <c r="M119" s="184"/>
      <c r="N119" s="184"/>
    </row>
    <row r="120" customFormat="false" ht="16.5" hidden="false" customHeight="false" outlineLevel="0" collapsed="false">
      <c r="H120" s="127"/>
      <c r="I120" s="127"/>
      <c r="J120" s="127"/>
      <c r="K120" s="127"/>
      <c r="L120" s="127"/>
      <c r="M120" s="127"/>
      <c r="N120" s="127"/>
    </row>
    <row r="121" customFormat="false" ht="16.5" hidden="false" customHeight="false" outlineLevel="0" collapsed="false">
      <c r="H121" s="127"/>
      <c r="I121" s="127"/>
      <c r="J121" s="127"/>
      <c r="K121" s="127"/>
      <c r="L121" s="127"/>
      <c r="M121" s="127"/>
      <c r="N121" s="127"/>
    </row>
    <row r="122" customFormat="false" ht="16.5" hidden="false" customHeight="false" outlineLevel="0" collapsed="false">
      <c r="H122" s="127"/>
      <c r="I122" s="127"/>
      <c r="J122" s="127"/>
      <c r="K122" s="127"/>
      <c r="L122" s="127"/>
      <c r="M122" s="127"/>
      <c r="N122" s="127"/>
    </row>
    <row r="123" customFormat="false" ht="16.5" hidden="false" customHeight="false" outlineLevel="0" collapsed="false">
      <c r="H123" s="127"/>
      <c r="I123" s="127"/>
      <c r="J123" s="127"/>
      <c r="K123" s="127"/>
      <c r="L123" s="127"/>
      <c r="M123" s="127"/>
      <c r="N123" s="127"/>
    </row>
    <row r="124" customFormat="false" ht="16.5" hidden="false" customHeight="false" outlineLevel="0" collapsed="false">
      <c r="H124" s="127"/>
      <c r="I124" s="127"/>
      <c r="J124" s="127"/>
      <c r="K124" s="127"/>
      <c r="L124" s="127"/>
      <c r="M124" s="127"/>
      <c r="N124" s="127"/>
    </row>
    <row r="125" customFormat="false" ht="16.5" hidden="false" customHeight="false" outlineLevel="0" collapsed="false">
      <c r="L125" s="177"/>
      <c r="M125" s="177"/>
      <c r="N125" s="177"/>
    </row>
    <row r="126" customFormat="false" ht="16.5" hidden="false" customHeight="false" outlineLevel="0" collapsed="false">
      <c r="L126" s="177"/>
      <c r="M126" s="177"/>
      <c r="N126" s="177"/>
    </row>
    <row r="127" customFormat="false" ht="16.5" hidden="false" customHeight="false" outlineLevel="0" collapsed="false">
      <c r="L127" s="177"/>
      <c r="M127" s="177"/>
      <c r="N127" s="177"/>
    </row>
    <row r="128" customFormat="false" ht="16.5" hidden="false" customHeight="false" outlineLevel="0" collapsed="false">
      <c r="L128" s="177"/>
      <c r="M128" s="177"/>
      <c r="N128" s="177"/>
    </row>
    <row r="129" customFormat="false" ht="16.5" hidden="false" customHeight="false" outlineLevel="0" collapsed="false">
      <c r="L129" s="177"/>
      <c r="M129" s="177"/>
      <c r="N129" s="177"/>
    </row>
    <row r="130" customFormat="false" ht="16.5" hidden="false" customHeight="false" outlineLevel="0" collapsed="false">
      <c r="L130" s="177"/>
      <c r="M130" s="177"/>
      <c r="N130" s="177"/>
    </row>
    <row r="131" customFormat="false" ht="16.5" hidden="false" customHeight="false" outlineLevel="0" collapsed="false">
      <c r="L131" s="177"/>
      <c r="M131" s="177"/>
      <c r="N131" s="177"/>
    </row>
    <row r="141" customFormat="false" ht="16.5" hidden="false" customHeight="false" outlineLevel="0" collapsed="false">
      <c r="H141" s="178"/>
      <c r="I141" s="178"/>
      <c r="J141" s="178"/>
      <c r="K141" s="178"/>
    </row>
    <row r="142" customFormat="false" ht="16.5" hidden="false" customHeight="false" outlineLevel="0" collapsed="false">
      <c r="H142" s="178"/>
      <c r="I142" s="178"/>
      <c r="J142" s="178"/>
      <c r="K142" s="178"/>
    </row>
    <row r="143" customFormat="false" ht="16.5" hidden="false" customHeight="false" outlineLevel="0" collapsed="false">
      <c r="H143" s="178"/>
      <c r="I143" s="178"/>
      <c r="J143" s="178"/>
      <c r="K143" s="178"/>
    </row>
    <row r="144" customFormat="false" ht="16.5" hidden="false" customHeight="false" outlineLevel="0" collapsed="false">
      <c r="H144" s="178"/>
      <c r="I144" s="178"/>
      <c r="J144" s="178"/>
      <c r="K144" s="178"/>
    </row>
    <row r="145" customFormat="false" ht="16.5" hidden="false" customHeight="false" outlineLevel="0" collapsed="false">
      <c r="H145" s="178"/>
      <c r="I145" s="178"/>
      <c r="J145" s="178"/>
      <c r="K145" s="178"/>
    </row>
    <row r="146" customFormat="false" ht="16.5" hidden="false" customHeight="false" outlineLevel="0" collapsed="false">
      <c r="H146" s="178"/>
      <c r="I146" s="178"/>
      <c r="J146" s="178"/>
      <c r="K146" s="178"/>
    </row>
    <row r="147" customFormat="false" ht="16.5" hidden="false" customHeight="false" outlineLevel="0" collapsed="false">
      <c r="H147" s="178"/>
      <c r="I147" s="178"/>
      <c r="J147" s="178"/>
      <c r="K147" s="178"/>
    </row>
    <row r="148" customFormat="false" ht="16.5" hidden="false" customHeight="false" outlineLevel="0" collapsed="false">
      <c r="H148" s="178"/>
      <c r="I148" s="178"/>
      <c r="J148" s="178"/>
      <c r="K148" s="178"/>
    </row>
    <row r="149" customFormat="false" ht="16.5" hidden="false" customHeight="false" outlineLevel="0" collapsed="false">
      <c r="H149" s="178"/>
      <c r="I149" s="178"/>
      <c r="J149" s="178"/>
      <c r="K149" s="178"/>
    </row>
    <row r="150" customFormat="false" ht="16.5" hidden="false" customHeight="false" outlineLevel="0" collapsed="false">
      <c r="H150" s="178"/>
      <c r="I150" s="178"/>
      <c r="J150" s="178"/>
      <c r="K150" s="178"/>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8">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B57:E57"/>
    <mergeCell ref="C60:D60"/>
    <mergeCell ref="C61:D61"/>
    <mergeCell ref="C62:D62"/>
    <mergeCell ref="C63:D63"/>
    <mergeCell ref="C64:D64"/>
    <mergeCell ref="C65:D65"/>
    <mergeCell ref="C66:D66"/>
    <mergeCell ref="B67:E67"/>
    <mergeCell ref="C69:E69"/>
    <mergeCell ref="C70:E70"/>
    <mergeCell ref="B71:E71"/>
    <mergeCell ref="C73:E73"/>
    <mergeCell ref="C74:E74"/>
    <mergeCell ref="C75:E75"/>
    <mergeCell ref="C76:E76"/>
    <mergeCell ref="C77:E77"/>
    <mergeCell ref="B78:E78"/>
    <mergeCell ref="B79:F79"/>
    <mergeCell ref="C80:D80"/>
    <mergeCell ref="C81:D81"/>
    <mergeCell ref="C82:D82"/>
    <mergeCell ref="C83:D83"/>
    <mergeCell ref="C84:D84"/>
    <mergeCell ref="C85:D85"/>
    <mergeCell ref="C86:D86"/>
    <mergeCell ref="B87:E87"/>
    <mergeCell ref="C89:E89"/>
    <mergeCell ref="C90:E90"/>
    <mergeCell ref="C91:E91"/>
    <mergeCell ref="C92:E92"/>
    <mergeCell ref="C93:E93"/>
    <mergeCell ref="C94:E94"/>
    <mergeCell ref="C95:E95"/>
    <mergeCell ref="B96:E96"/>
  </mergeCells>
  <printOptions headings="false" gridLines="false" gridLinesSet="true" horizontalCentered="true" verticalCentered="false"/>
  <pageMargins left="0.0798611111111111" right="0.05" top="0.196527777777778" bottom="0.157638888888889" header="0.511805555555555" footer="0.511805555555555"/>
  <pageSetup paperSize="9"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I56"/>
  <sheetViews>
    <sheetView showFormulas="false" showGridLines="true" showRowColHeaders="true" showZeros="true" rightToLeft="false" tabSelected="false" showOutlineSymbols="true" defaultGridColor="true" view="normal" topLeftCell="A19" colorId="64" zoomScale="80" zoomScaleNormal="80" zoomScalePageLayoutView="100" workbookViewId="0">
      <selection pane="topLeft" activeCell="F38" activeCellId="0" sqref="F38"/>
    </sheetView>
  </sheetViews>
  <sheetFormatPr defaultRowHeight="16.5" zeroHeight="false" outlineLevelRow="0" outlineLevelCol="0"/>
  <cols>
    <col collapsed="false" customWidth="true" hidden="false" outlineLevel="0" max="1" min="1" style="182" width="1.12"/>
    <col collapsed="false" customWidth="true" hidden="false" outlineLevel="0" max="2" min="2" style="177" width="20.71"/>
    <col collapsed="false" customWidth="true" hidden="false" outlineLevel="0" max="3" min="3" style="127" width="20.42"/>
    <col collapsed="false" customWidth="true" hidden="false" outlineLevel="0" max="4" min="4" style="177" width="18.58"/>
    <col collapsed="false" customWidth="true" hidden="false" outlineLevel="0" max="5" min="5" style="177" width="17.4"/>
    <col collapsed="false" customWidth="true" hidden="false" outlineLevel="0" max="6" min="6" style="177" width="19"/>
    <col collapsed="false" customWidth="true" hidden="false" outlineLevel="0" max="7" min="7" style="178" width="17.71"/>
    <col collapsed="false" customWidth="true" hidden="false" outlineLevel="0" max="8" min="8" style="178" width="18.85"/>
    <col collapsed="false" customWidth="true" hidden="false" outlineLevel="0" max="9" min="9" style="178" width="17.29"/>
    <col collapsed="false" customWidth="true" hidden="false" outlineLevel="0" max="257" min="10" style="182" width="9.13"/>
    <col collapsed="false" customWidth="true" hidden="false" outlineLevel="0" max="258" min="258" style="182" width="1.12"/>
    <col collapsed="false" customWidth="true" hidden="false" outlineLevel="0" max="259" min="259" style="182" width="20.71"/>
    <col collapsed="false" customWidth="true" hidden="false" outlineLevel="0" max="260" min="260" style="182" width="23.42"/>
    <col collapsed="false" customWidth="true" hidden="false" outlineLevel="0" max="261" min="261" style="182" width="20.57"/>
    <col collapsed="false" customWidth="true" hidden="false" outlineLevel="0" max="262" min="262" style="182" width="19.99"/>
    <col collapsed="false" customWidth="true" hidden="false" outlineLevel="0" max="263" min="263" style="182" width="23.15"/>
    <col collapsed="false" customWidth="true" hidden="false" outlineLevel="0" max="264" min="264" style="182" width="13.57"/>
    <col collapsed="false" customWidth="true" hidden="false" outlineLevel="0" max="265" min="265" style="182" width="17.29"/>
    <col collapsed="false" customWidth="true" hidden="false" outlineLevel="0" max="513" min="266" style="182" width="9.13"/>
    <col collapsed="false" customWidth="true" hidden="false" outlineLevel="0" max="514" min="514" style="182" width="1.12"/>
    <col collapsed="false" customWidth="true" hidden="false" outlineLevel="0" max="515" min="515" style="182" width="20.71"/>
    <col collapsed="false" customWidth="true" hidden="false" outlineLevel="0" max="516" min="516" style="182" width="23.42"/>
    <col collapsed="false" customWidth="true" hidden="false" outlineLevel="0" max="517" min="517" style="182" width="20.57"/>
    <col collapsed="false" customWidth="true" hidden="false" outlineLevel="0" max="518" min="518" style="182" width="19.99"/>
    <col collapsed="false" customWidth="true" hidden="false" outlineLevel="0" max="519" min="519" style="182" width="23.15"/>
    <col collapsed="false" customWidth="true" hidden="false" outlineLevel="0" max="520" min="520" style="182" width="13.57"/>
    <col collapsed="false" customWidth="true" hidden="false" outlineLevel="0" max="521" min="521" style="182" width="17.29"/>
    <col collapsed="false" customWidth="true" hidden="false" outlineLevel="0" max="769" min="522" style="182" width="9.13"/>
    <col collapsed="false" customWidth="true" hidden="false" outlineLevel="0" max="770" min="770" style="182" width="1.12"/>
    <col collapsed="false" customWidth="true" hidden="false" outlineLevel="0" max="771" min="771" style="182" width="20.71"/>
    <col collapsed="false" customWidth="true" hidden="false" outlineLevel="0" max="772" min="772" style="182" width="23.42"/>
    <col collapsed="false" customWidth="true" hidden="false" outlineLevel="0" max="773" min="773" style="182" width="20.57"/>
    <col collapsed="false" customWidth="true" hidden="false" outlineLevel="0" max="774" min="774" style="182" width="19.99"/>
    <col collapsed="false" customWidth="true" hidden="false" outlineLevel="0" max="775" min="775" style="182" width="23.15"/>
    <col collapsed="false" customWidth="true" hidden="false" outlineLevel="0" max="776" min="776" style="182" width="13.57"/>
    <col collapsed="false" customWidth="true" hidden="false" outlineLevel="0" max="777" min="777" style="182" width="17.29"/>
    <col collapsed="false" customWidth="true" hidden="false" outlineLevel="0" max="1025" min="778" style="182" width="9.13"/>
  </cols>
  <sheetData>
    <row r="1" s="186" customFormat="true" ht="20.25" hidden="false" customHeight="false" outlineLevel="0" collapsed="false">
      <c r="B1" s="187" t="str">
        <f aca="false">RAMO</f>
        <v>RAMO: MINISTÉRIO PÚBLICO FEDERAL</v>
      </c>
      <c r="C1" s="187"/>
      <c r="D1" s="187"/>
      <c r="E1" s="187"/>
      <c r="F1" s="187"/>
      <c r="G1" s="187"/>
      <c r="H1" s="187"/>
      <c r="I1" s="187"/>
    </row>
    <row r="2" s="186" customFormat="true" ht="20.25" hidden="false" customHeight="false" outlineLevel="0" collapsed="false">
      <c r="B2" s="188" t="str">
        <f aca="false">UG</f>
        <v>UNIDADE GESTORA (SIGLA): PRMS</v>
      </c>
      <c r="C2" s="188"/>
      <c r="D2" s="188"/>
      <c r="E2" s="188"/>
      <c r="F2" s="188"/>
      <c r="G2" s="188"/>
      <c r="H2" s="130" t="s">
        <v>2</v>
      </c>
      <c r="I2" s="131" t="n">
        <f aca="false">IF(DATA_DO_ORCAMENTO_ESTIMATIVO="","",DATA_DO_ORCAMENTO_ESTIMATIVO)</f>
        <v>44915</v>
      </c>
    </row>
    <row r="3" customFormat="false" ht="9" hidden="false" customHeight="true" outlineLevel="0" collapsed="false"/>
    <row r="4" customFormat="false" ht="20.25" hidden="false" customHeight="false" outlineLevel="0" collapsed="false">
      <c r="B4" s="189" t="s">
        <v>253</v>
      </c>
      <c r="C4" s="189"/>
      <c r="D4" s="189"/>
      <c r="E4" s="189"/>
      <c r="F4" s="189"/>
      <c r="G4" s="189"/>
      <c r="H4" s="189"/>
      <c r="I4" s="189"/>
    </row>
    <row r="5" customFormat="false" ht="15" hidden="false" customHeight="true" outlineLevel="0" collapsed="false">
      <c r="B5" s="190" t="s">
        <v>254</v>
      </c>
      <c r="C5" s="190"/>
      <c r="D5" s="190"/>
      <c r="E5" s="190"/>
      <c r="F5" s="190"/>
      <c r="G5" s="190"/>
      <c r="H5" s="190"/>
      <c r="I5" s="190"/>
    </row>
    <row r="6" s="191" customFormat="true" ht="10.5" hidden="false" customHeight="true" outlineLevel="0" collapsed="false">
      <c r="B6" s="192"/>
      <c r="C6" s="193"/>
      <c r="D6" s="192"/>
      <c r="E6" s="192"/>
      <c r="F6" s="192"/>
      <c r="G6" s="192"/>
      <c r="H6" s="192"/>
      <c r="I6" s="192"/>
    </row>
    <row r="7" customFormat="false" ht="15" hidden="false" customHeight="true" outlineLevel="0" collapsed="false">
      <c r="B7" s="190" t="s">
        <v>305</v>
      </c>
      <c r="C7" s="190"/>
      <c r="D7" s="190"/>
      <c r="E7" s="190"/>
      <c r="F7" s="190"/>
      <c r="G7" s="190"/>
      <c r="H7" s="190"/>
      <c r="I7" s="190"/>
    </row>
    <row r="8" customFormat="false" ht="14.25" hidden="false" customHeight="true" outlineLevel="0" collapsed="false">
      <c r="B8" s="194" t="s">
        <v>256</v>
      </c>
      <c r="C8" s="194"/>
      <c r="D8" s="194"/>
      <c r="E8" s="194"/>
      <c r="F8" s="194"/>
      <c r="G8" s="194"/>
      <c r="H8" s="194"/>
      <c r="I8" s="194"/>
    </row>
    <row r="9" customFormat="false" ht="15.75" hidden="false" customHeight="true" outlineLevel="0" collapsed="false">
      <c r="B9" s="194"/>
      <c r="C9" s="194"/>
      <c r="D9" s="194"/>
      <c r="E9" s="194"/>
      <c r="F9" s="194"/>
      <c r="G9" s="194"/>
      <c r="H9" s="194"/>
      <c r="I9" s="194"/>
    </row>
    <row r="10" customFormat="false" ht="12.75" hidden="false" customHeight="true" outlineLevel="0" collapsed="false">
      <c r="A10" s="195"/>
      <c r="B10" s="21" t="s">
        <v>257</v>
      </c>
      <c r="C10" s="49" t="s">
        <v>258</v>
      </c>
      <c r="D10" s="49" t="s">
        <v>259</v>
      </c>
      <c r="E10" s="49" t="s">
        <v>260</v>
      </c>
      <c r="F10" s="49" t="s">
        <v>261</v>
      </c>
      <c r="G10" s="196"/>
      <c r="I10" s="182"/>
    </row>
    <row r="11" customFormat="false" ht="21" hidden="false" customHeight="true" outlineLevel="0" collapsed="false">
      <c r="A11" s="195"/>
      <c r="B11" s="21"/>
      <c r="C11" s="49"/>
      <c r="D11" s="49"/>
      <c r="E11" s="49"/>
      <c r="F11" s="49"/>
      <c r="G11" s="196"/>
      <c r="I11" s="182"/>
    </row>
    <row r="12" customFormat="false" ht="16.5" hidden="false" customHeight="false" outlineLevel="0" collapsed="false">
      <c r="A12" s="195"/>
      <c r="B12" s="97" t="s">
        <v>264</v>
      </c>
      <c r="C12" s="101" t="s">
        <v>263</v>
      </c>
      <c r="D12" s="198" t="n">
        <f aca="false">1/'INSERÇÃO-DE-DADOS_PRODUTIVIDADE'!K9</f>
        <v>0.00125</v>
      </c>
      <c r="E12" s="199" t="n">
        <f aca="false">'SERVENTE COR'!F96</f>
        <v>4291.20139506511</v>
      </c>
      <c r="F12" s="199" t="n">
        <f aca="false">D12*E12</f>
        <v>5.36400174383139</v>
      </c>
      <c r="G12" s="196"/>
      <c r="I12" s="182"/>
    </row>
    <row r="13" customFormat="false" ht="16.5" hidden="false" customHeight="false" outlineLevel="0" collapsed="false">
      <c r="A13" s="195"/>
      <c r="B13" s="97" t="s">
        <v>264</v>
      </c>
      <c r="C13" s="101" t="s">
        <v>266</v>
      </c>
      <c r="D13" s="198" t="n">
        <f aca="false">1/'INSERÇÃO-DE-DADOS_PRODUTIVIDADE'!K10</f>
        <v>0.000666666666666667</v>
      </c>
      <c r="E13" s="199" t="n">
        <f aca="false">'SERVENTE COR'!F96</f>
        <v>4291.20139506511</v>
      </c>
      <c r="F13" s="199" t="n">
        <f aca="false">D13*E13</f>
        <v>2.86080093004341</v>
      </c>
      <c r="G13" s="196"/>
      <c r="I13" s="182"/>
    </row>
    <row r="14" customFormat="false" ht="16.5" hidden="false" customHeight="false" outlineLevel="0" collapsed="false">
      <c r="A14" s="195"/>
      <c r="B14" s="97" t="s">
        <v>264</v>
      </c>
      <c r="C14" s="101" t="s">
        <v>268</v>
      </c>
      <c r="D14" s="198" t="n">
        <f aca="false">1/'INSERÇÃO-DE-DADOS_PRODUTIVIDADE'!K11</f>
        <v>0.005</v>
      </c>
      <c r="E14" s="199" t="n">
        <f aca="false">'SERVENTE COR'!F96</f>
        <v>4291.20139506511</v>
      </c>
      <c r="F14" s="199" t="n">
        <f aca="false">D14*E14</f>
        <v>21.4560069753256</v>
      </c>
      <c r="G14" s="196"/>
      <c r="I14" s="182"/>
    </row>
    <row r="15" customFormat="false" ht="3.75" hidden="false" customHeight="true" outlineLevel="0" collapsed="false">
      <c r="B15" s="197"/>
      <c r="C15" s="203"/>
      <c r="D15" s="204"/>
      <c r="E15" s="204"/>
      <c r="F15" s="204"/>
      <c r="G15" s="205"/>
      <c r="I15" s="182"/>
    </row>
    <row r="16" s="206" customFormat="true" ht="15.75" hidden="false" customHeight="true" outlineLevel="0" collapsed="false">
      <c r="B16" s="194" t="s">
        <v>298</v>
      </c>
      <c r="C16" s="194"/>
      <c r="D16" s="194"/>
      <c r="E16" s="194"/>
      <c r="F16" s="194"/>
      <c r="G16" s="194"/>
      <c r="H16" s="194"/>
      <c r="I16" s="194"/>
    </row>
    <row r="17" s="206" customFormat="true" ht="14.25" hidden="false" customHeight="false" outlineLevel="0" collapsed="false">
      <c r="B17" s="194"/>
      <c r="C17" s="194"/>
      <c r="D17" s="194"/>
      <c r="E17" s="194"/>
      <c r="F17" s="194"/>
      <c r="G17" s="194"/>
      <c r="H17" s="194"/>
      <c r="I17" s="194"/>
    </row>
    <row r="18" customFormat="false" ht="12.75" hidden="false" customHeight="true" outlineLevel="0" collapsed="false">
      <c r="A18" s="195"/>
      <c r="B18" s="21" t="s">
        <v>257</v>
      </c>
      <c r="C18" s="49" t="s">
        <v>258</v>
      </c>
      <c r="D18" s="49" t="s">
        <v>259</v>
      </c>
      <c r="E18" s="49" t="s">
        <v>260</v>
      </c>
      <c r="F18" s="49" t="s">
        <v>261</v>
      </c>
      <c r="G18" s="196"/>
    </row>
    <row r="19" customFormat="false" ht="31.5" hidden="false" customHeight="true" outlineLevel="0" collapsed="false">
      <c r="A19" s="195"/>
      <c r="B19" s="21"/>
      <c r="C19" s="49"/>
      <c r="D19" s="49"/>
      <c r="E19" s="49"/>
      <c r="F19" s="49"/>
      <c r="G19" s="196"/>
      <c r="H19" s="177"/>
    </row>
    <row r="20" customFormat="false" ht="16.5" hidden="false" customHeight="false" outlineLevel="0" collapsed="false">
      <c r="A20" s="195"/>
      <c r="B20" s="97" t="s">
        <v>264</v>
      </c>
      <c r="C20" s="101" t="s">
        <v>271</v>
      </c>
      <c r="D20" s="198" t="n">
        <f aca="false">1/'INSERÇÃO-DE-DADOS_PRODUTIVIDADE'!K12</f>
        <v>0.000555555555555556</v>
      </c>
      <c r="E20" s="199" t="n">
        <f aca="false">'SERVENTE COR'!F96</f>
        <v>4291.20139506511</v>
      </c>
      <c r="F20" s="199" t="n">
        <f aca="false">D20*E20</f>
        <v>2.38400077503618</v>
      </c>
      <c r="G20" s="196"/>
      <c r="H20" s="177"/>
    </row>
    <row r="21" customFormat="false" ht="49.5" hidden="false" customHeight="false" outlineLevel="0" collapsed="false">
      <c r="A21" s="195"/>
      <c r="B21" s="97" t="s">
        <v>264</v>
      </c>
      <c r="C21" s="101" t="s">
        <v>273</v>
      </c>
      <c r="D21" s="198" t="n">
        <f aca="false">1/'INSERÇÃO-DE-DADOS_PRODUTIVIDADE'!K13</f>
        <v>0.000166666666666667</v>
      </c>
      <c r="E21" s="199" t="n">
        <f aca="false">'SERVENTE COR'!F96</f>
        <v>4291.20139506511</v>
      </c>
      <c r="F21" s="199" t="n">
        <f aca="false">D21*E21</f>
        <v>0.715200232510854</v>
      </c>
      <c r="G21" s="196"/>
      <c r="H21" s="177"/>
    </row>
    <row r="22" customFormat="false" ht="16.5" hidden="false" customHeight="false" outlineLevel="0" collapsed="false">
      <c r="A22" s="195"/>
      <c r="B22" s="97" t="s">
        <v>264</v>
      </c>
      <c r="C22" s="101" t="s">
        <v>275</v>
      </c>
      <c r="D22" s="198" t="n">
        <f aca="false">1/'INSERÇÃO-DE-DADOS_PRODUTIVIDADE'!K14</f>
        <v>0.000555555555555556</v>
      </c>
      <c r="E22" s="199" t="n">
        <f aca="false">'SERVENTE COR'!F96</f>
        <v>4291.20139506511</v>
      </c>
      <c r="F22" s="199" t="n">
        <f aca="false">D22*E22</f>
        <v>2.38400077503618</v>
      </c>
      <c r="G22" s="196"/>
      <c r="H22" s="177"/>
    </row>
    <row r="23" customFormat="false" ht="3.75" hidden="false" customHeight="true" outlineLevel="0" collapsed="false">
      <c r="B23" s="197"/>
      <c r="C23" s="203"/>
      <c r="D23" s="204"/>
      <c r="E23" s="204"/>
      <c r="F23" s="204"/>
      <c r="G23" s="208"/>
      <c r="H23" s="196"/>
      <c r="I23" s="196"/>
    </row>
    <row r="24" s="206" customFormat="true" ht="12.75" hidden="false" customHeight="true" outlineLevel="0" collapsed="false">
      <c r="B24" s="194" t="s">
        <v>276</v>
      </c>
      <c r="C24" s="194"/>
      <c r="D24" s="194"/>
      <c r="E24" s="194"/>
      <c r="F24" s="194"/>
      <c r="G24" s="194"/>
      <c r="H24" s="194"/>
      <c r="I24" s="194"/>
    </row>
    <row r="25" s="206" customFormat="true" ht="15.75" hidden="false" customHeight="true" outlineLevel="0" collapsed="false">
      <c r="B25" s="194"/>
      <c r="C25" s="194"/>
      <c r="D25" s="194"/>
      <c r="E25" s="194"/>
      <c r="F25" s="194"/>
      <c r="G25" s="194"/>
      <c r="H25" s="194"/>
      <c r="I25" s="194"/>
    </row>
    <row r="26" customFormat="false" ht="12.75" hidden="false" customHeight="true" outlineLevel="0" collapsed="false">
      <c r="A26" s="195"/>
      <c r="B26" s="21" t="s">
        <v>257</v>
      </c>
      <c r="C26" s="49" t="s">
        <v>258</v>
      </c>
      <c r="D26" s="49" t="s">
        <v>259</v>
      </c>
      <c r="E26" s="49" t="s">
        <v>277</v>
      </c>
      <c r="F26" s="49" t="s">
        <v>278</v>
      </c>
      <c r="G26" s="49" t="s">
        <v>279</v>
      </c>
      <c r="H26" s="49" t="s">
        <v>280</v>
      </c>
      <c r="I26" s="49" t="s">
        <v>281</v>
      </c>
    </row>
    <row r="27" customFormat="false" ht="14.25" hidden="false" customHeight="false" outlineLevel="0" collapsed="false">
      <c r="A27" s="195"/>
      <c r="B27" s="21"/>
      <c r="C27" s="49"/>
      <c r="D27" s="49"/>
      <c r="E27" s="49"/>
      <c r="F27" s="49"/>
      <c r="G27" s="49"/>
      <c r="H27" s="49"/>
      <c r="I27" s="49"/>
    </row>
    <row r="28" customFormat="false" ht="36" hidden="false" customHeight="true" outlineLevel="0" collapsed="false">
      <c r="A28" s="195"/>
      <c r="B28" s="21"/>
      <c r="C28" s="49"/>
      <c r="D28" s="49"/>
      <c r="E28" s="49"/>
      <c r="F28" s="49"/>
      <c r="G28" s="49"/>
      <c r="H28" s="49"/>
      <c r="I28" s="49"/>
    </row>
    <row r="29" customFormat="false" ht="16.5" hidden="false" customHeight="false" outlineLevel="0" collapsed="false">
      <c r="A29" s="195"/>
      <c r="B29" s="97" t="s">
        <v>264</v>
      </c>
      <c r="C29" s="101" t="s">
        <v>282</v>
      </c>
      <c r="D29" s="198" t="n">
        <f aca="false">1/'INSERÇÃO-DE-DADOS_PRODUTIVIDADE'!K15</f>
        <v>0.00333333333333333</v>
      </c>
      <c r="E29" s="209" t="n">
        <f aca="false">'INSERÇÃO-DE-DADOS_PRODUTIVIDADE'!L15</f>
        <v>16</v>
      </c>
      <c r="F29" s="210" t="n">
        <f aca="false">1/((DIAS_NO_MES/DIAS_NA_SEMANA)*CARGA_HORARIA_SEMANAL)</f>
        <v>0.00583333333333333</v>
      </c>
      <c r="G29" s="210" t="n">
        <f aca="false">D29*E29*F29</f>
        <v>0.000311111111111111</v>
      </c>
      <c r="H29" s="199" t="n">
        <f aca="false">'SERVENTE COR'!F96</f>
        <v>4291.20139506511</v>
      </c>
      <c r="I29" s="199" t="n">
        <f aca="false">G29*H29</f>
        <v>1.33504043402026</v>
      </c>
    </row>
    <row r="30" customFormat="false" ht="16.5" hidden="false" customHeight="false" outlineLevel="0" collapsed="false">
      <c r="A30" s="195"/>
      <c r="B30" s="97"/>
      <c r="C30" s="101" t="s">
        <v>283</v>
      </c>
      <c r="D30" s="198" t="n">
        <f aca="false">1/'INSERÇÃO-DE-DADOS_PRODUTIVIDADE'!K16</f>
        <v>0.00333333333333333</v>
      </c>
      <c r="E30" s="209" t="n">
        <f aca="false">'INSERÇÃO-DE-DADOS_PRODUTIVIDADE'!L16</f>
        <v>16</v>
      </c>
      <c r="F30" s="210" t="n">
        <f aca="false">1/((DIAS_NO_MES/DIAS_NA_SEMANA)*CARGA_HORARIA_SEMANAL)</f>
        <v>0.00583333333333333</v>
      </c>
      <c r="G30" s="210" t="n">
        <f aca="false">D30*E30*F30</f>
        <v>0.000311111111111111</v>
      </c>
      <c r="H30" s="199" t="n">
        <f aca="false">'SERVENTE COR'!F96</f>
        <v>4291.20139506511</v>
      </c>
      <c r="I30" s="199" t="n">
        <f aca="false">G30*H30</f>
        <v>1.33504043402026</v>
      </c>
    </row>
    <row r="31" customFormat="false" ht="10.35" hidden="false" customHeight="true" outlineLevel="0" collapsed="false">
      <c r="A31" s="195"/>
      <c r="B31" s="197"/>
      <c r="C31" s="203"/>
      <c r="D31" s="204"/>
      <c r="E31" s="204"/>
      <c r="F31" s="204"/>
      <c r="G31" s="204"/>
      <c r="H31" s="204"/>
      <c r="I31" s="204"/>
    </row>
    <row r="32" customFormat="false" ht="9" hidden="false" customHeight="true" outlineLevel="0" collapsed="false">
      <c r="B32" s="197"/>
      <c r="C32" s="203"/>
      <c r="D32" s="204"/>
      <c r="E32" s="204"/>
      <c r="F32" s="204"/>
      <c r="G32" s="208"/>
      <c r="H32" s="177"/>
    </row>
    <row r="33" s="206" customFormat="true" ht="13.5" hidden="false" customHeight="true" outlineLevel="0" collapsed="false">
      <c r="B33" s="214" t="s">
        <v>286</v>
      </c>
      <c r="C33" s="214"/>
      <c r="D33" s="214"/>
      <c r="E33" s="214"/>
      <c r="F33" s="214"/>
      <c r="G33" s="182"/>
      <c r="H33" s="182"/>
    </row>
    <row r="34" s="182" customFormat="true" ht="13.5" hidden="false" customHeight="true" outlineLevel="0" collapsed="false">
      <c r="B34" s="217"/>
      <c r="C34" s="217"/>
      <c r="D34" s="217"/>
      <c r="E34" s="217"/>
      <c r="F34" s="217"/>
    </row>
    <row r="35" s="182" customFormat="true" ht="27" hidden="false" customHeight="true" outlineLevel="0" collapsed="false">
      <c r="B35" s="49" t="s">
        <v>258</v>
      </c>
      <c r="C35" s="49"/>
      <c r="D35" s="49" t="s">
        <v>287</v>
      </c>
      <c r="E35" s="49" t="s">
        <v>288</v>
      </c>
      <c r="F35" s="49" t="s">
        <v>289</v>
      </c>
    </row>
    <row r="36" s="182" customFormat="true" ht="27" hidden="false" customHeight="true" outlineLevel="0" collapsed="false">
      <c r="B36" s="49"/>
      <c r="C36" s="49"/>
      <c r="D36" s="49"/>
      <c r="E36" s="49"/>
      <c r="F36" s="49"/>
    </row>
    <row r="37" s="182" customFormat="true" ht="45.6" hidden="false" customHeight="true" outlineLevel="0" collapsed="false">
      <c r="B37" s="49"/>
      <c r="C37" s="49"/>
      <c r="D37" s="49" t="s">
        <v>136</v>
      </c>
      <c r="E37" s="49" t="s">
        <v>299</v>
      </c>
      <c r="F37" s="49" t="s">
        <v>291</v>
      </c>
    </row>
    <row r="38" s="182" customFormat="true" ht="19.35" hidden="false" customHeight="true" outlineLevel="0" collapsed="false">
      <c r="B38" s="97" t="s">
        <v>292</v>
      </c>
      <c r="C38" s="101" t="s">
        <v>263</v>
      </c>
      <c r="D38" s="220" t="n">
        <f aca="false">'INSERÇÃO-DE-DADOS_PRODUTIVIDADE'!G9</f>
        <v>428.93</v>
      </c>
      <c r="E38" s="221" t="n">
        <f aca="false">F12</f>
        <v>5.36400174383139</v>
      </c>
      <c r="F38" s="222" t="n">
        <f aca="false">D38*E38</f>
        <v>2300.7812679816</v>
      </c>
    </row>
    <row r="39" s="182" customFormat="true" ht="19.35" hidden="false" customHeight="true" outlineLevel="0" collapsed="false">
      <c r="B39" s="97"/>
      <c r="C39" s="101" t="s">
        <v>266</v>
      </c>
      <c r="D39" s="220" t="n">
        <f aca="false">'INSERÇÃO-DE-DADOS_PRODUTIVIDADE'!G10</f>
        <v>0</v>
      </c>
      <c r="E39" s="221" t="n">
        <f aca="false">F13</f>
        <v>2.86080093004341</v>
      </c>
      <c r="F39" s="222" t="n">
        <f aca="false">D39*E39</f>
        <v>0</v>
      </c>
    </row>
    <row r="40" s="182" customFormat="true" ht="19.35" hidden="false" customHeight="true" outlineLevel="0" collapsed="false">
      <c r="B40" s="97"/>
      <c r="C40" s="101" t="s">
        <v>268</v>
      </c>
      <c r="D40" s="220" t="n">
        <f aca="false">'INSERÇÃO-DE-DADOS_PRODUTIVIDADE'!G11</f>
        <v>32.38</v>
      </c>
      <c r="E40" s="221" t="n">
        <f aca="false">F14</f>
        <v>21.4560069753256</v>
      </c>
      <c r="F40" s="222" t="n">
        <f aca="false">D40*E40</f>
        <v>694.745505861042</v>
      </c>
    </row>
    <row r="41" s="182" customFormat="true" ht="19.35" hidden="false" customHeight="true" outlineLevel="0" collapsed="false">
      <c r="B41" s="97" t="s">
        <v>293</v>
      </c>
      <c r="C41" s="101" t="s">
        <v>271</v>
      </c>
      <c r="D41" s="220" t="n">
        <f aca="false">'INSERÇÃO-DE-DADOS_PRODUTIVIDADE'!G12</f>
        <v>401.47</v>
      </c>
      <c r="E41" s="220" t="n">
        <f aca="false">F20</f>
        <v>2.38400077503618</v>
      </c>
      <c r="F41" s="222" t="n">
        <f aca="false">D41*E41</f>
        <v>957.104791153774</v>
      </c>
    </row>
    <row r="42" s="182" customFormat="true" ht="49.15" hidden="false" customHeight="true" outlineLevel="0" collapsed="false">
      <c r="B42" s="97"/>
      <c r="C42" s="101" t="s">
        <v>273</v>
      </c>
      <c r="D42" s="220" t="n">
        <f aca="false">'INSERÇÃO-DE-DADOS_PRODUTIVIDADE'!G13</f>
        <v>564.23</v>
      </c>
      <c r="E42" s="220" t="n">
        <f aca="false">F21</f>
        <v>0.715200232510854</v>
      </c>
      <c r="F42" s="222" t="n">
        <f aca="false">D42*E42</f>
        <v>403.537427189599</v>
      </c>
    </row>
    <row r="43" s="182" customFormat="true" ht="19.35" hidden="false" customHeight="true" outlineLevel="0" collapsed="false">
      <c r="B43" s="97"/>
      <c r="C43" s="101" t="s">
        <v>275</v>
      </c>
      <c r="D43" s="220" t="n">
        <f aca="false">'INSERÇÃO-DE-DADOS_PRODUTIVIDADE'!G14</f>
        <v>131.69</v>
      </c>
      <c r="E43" s="220" t="n">
        <f aca="false">F22</f>
        <v>2.38400077503618</v>
      </c>
      <c r="F43" s="222" t="n">
        <f aca="false">D43*E43</f>
        <v>313.949062064514</v>
      </c>
    </row>
    <row r="44" s="182" customFormat="true" ht="19.35" hidden="false" customHeight="true" outlineLevel="0" collapsed="false">
      <c r="B44" s="97" t="s">
        <v>294</v>
      </c>
      <c r="C44" s="101" t="s">
        <v>282</v>
      </c>
      <c r="D44" s="220" t="n">
        <f aca="false">'INSERÇÃO-DE-DADOS_PRODUTIVIDADE'!G15</f>
        <v>49.71</v>
      </c>
      <c r="E44" s="221" t="n">
        <f aca="false">I29</f>
        <v>1.33504043402026</v>
      </c>
      <c r="F44" s="222" t="n">
        <f aca="false">D44*E44</f>
        <v>66.364859975147</v>
      </c>
    </row>
    <row r="45" s="182" customFormat="true" ht="19.35" hidden="false" customHeight="true" outlineLevel="0" collapsed="false">
      <c r="B45" s="97"/>
      <c r="C45" s="101" t="s">
        <v>283</v>
      </c>
      <c r="D45" s="220" t="n">
        <f aca="false">'INSERÇÃO-DE-DADOS_PRODUTIVIDADE'!G16</f>
        <v>49.71</v>
      </c>
      <c r="E45" s="221" t="n">
        <f aca="false">I30</f>
        <v>1.33504043402026</v>
      </c>
      <c r="F45" s="222" t="n">
        <f aca="false">D45*E45</f>
        <v>66.364859975147</v>
      </c>
    </row>
    <row r="46" s="182" customFormat="true" ht="16.7" hidden="false" customHeight="true" outlineLevel="0" collapsed="false">
      <c r="B46" s="223" t="s">
        <v>306</v>
      </c>
      <c r="C46" s="223"/>
      <c r="D46" s="223"/>
      <c r="E46" s="223"/>
      <c r="F46" s="224" t="n">
        <f aca="false">SUM(F38:F45)</f>
        <v>4802.84777420082</v>
      </c>
    </row>
    <row r="47" customFormat="false" ht="16.5" hidden="false" customHeight="false" outlineLevel="0" collapsed="false">
      <c r="G47" s="182"/>
      <c r="H47" s="182"/>
    </row>
    <row r="48" s="206" customFormat="true" ht="13.5" hidden="false" customHeight="true" outlineLevel="0" collapsed="false">
      <c r="C48" s="225"/>
    </row>
    <row r="49" customFormat="false" ht="13.5" hidden="false" customHeight="true" outlineLevel="0" collapsed="false">
      <c r="I49" s="182"/>
    </row>
    <row r="50" customFormat="false" ht="14.25" hidden="false" customHeight="true" outlineLevel="0" collapsed="false">
      <c r="I50" s="182"/>
    </row>
    <row r="51" customFormat="false" ht="16.5" hidden="false" customHeight="false" outlineLevel="0" collapsed="false">
      <c r="I51" s="182"/>
    </row>
    <row r="52" customFormat="false" ht="16.5" hidden="false" customHeight="false" outlineLevel="0" collapsed="false">
      <c r="I52" s="182"/>
    </row>
    <row r="53" customFormat="false" ht="16.5" hidden="false" customHeight="false" outlineLevel="0" collapsed="false">
      <c r="I53" s="182"/>
    </row>
    <row r="54" customFormat="false" ht="36" hidden="false" customHeight="true" outlineLevel="0" collapsed="false">
      <c r="I54" s="182"/>
    </row>
    <row r="55" customFormat="false" ht="16.5" hidden="false" customHeight="false" outlineLevel="0" collapsed="false">
      <c r="I55" s="182"/>
    </row>
    <row r="56" customFormat="false" ht="49.5" hidden="false" customHeight="true" outlineLevel="0" collapsed="false">
      <c r="I56" s="182"/>
    </row>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7"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sheetPr filterMode="false">
    <pageSetUpPr fitToPage="false"/>
  </sheetPr>
  <dimension ref="A1:AMJ2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N11" activeCellId="0" sqref="N11"/>
    </sheetView>
  </sheetViews>
  <sheetFormatPr defaultRowHeight="12.8" zeroHeight="false" outlineLevelRow="0" outlineLevelCol="0"/>
  <cols>
    <col collapsed="false" customWidth="true" hidden="false" outlineLevel="0" max="1" min="1" style="227" width="1.71"/>
    <col collapsed="false" customWidth="true" hidden="false" outlineLevel="0" max="2" min="2" style="227" width="7.1"/>
    <col collapsed="false" customWidth="true" hidden="false" outlineLevel="0" max="3" min="3" style="228" width="28.25"/>
    <col collapsed="false" customWidth="true" hidden="false" outlineLevel="0" max="4" min="4" style="227" width="14.81"/>
    <col collapsed="false" customWidth="true" hidden="false" outlineLevel="0" max="5" min="5" style="227" width="20.86"/>
    <col collapsed="false" customWidth="true" hidden="false" outlineLevel="0" max="6" min="6" style="227" width="19.31"/>
    <col collapsed="false" customWidth="true" hidden="false" outlineLevel="0" max="7" min="7" style="227" width="18.58"/>
    <col collapsed="false" customWidth="true" hidden="false" outlineLevel="0" max="8" min="8" style="227" width="10.96"/>
    <col collapsed="false" customWidth="false" hidden="false" outlineLevel="0" max="9" min="9" style="227" width="11.57"/>
    <col collapsed="false" customWidth="true" hidden="false" outlineLevel="0" max="1017" min="10" style="227" width="9.13"/>
    <col collapsed="false" customWidth="false" hidden="false" outlineLevel="0" max="1021" min="1018" style="0" width="11.57"/>
    <col collapsed="false" customWidth="false" hidden="false" outlineLevel="0" max="1025" min="1022" style="0" width="11.52"/>
  </cols>
  <sheetData>
    <row r="1" s="1" customFormat="true" ht="20.25" hidden="false" customHeight="true" outlineLevel="0" collapsed="false">
      <c r="B1" s="187" t="str">
        <f aca="false">RAMO</f>
        <v>RAMO: MINISTÉRIO PÚBLICO FEDERAL</v>
      </c>
      <c r="C1" s="187"/>
      <c r="D1" s="187"/>
      <c r="E1" s="187"/>
      <c r="F1" s="187"/>
      <c r="G1" s="187"/>
      <c r="H1" s="187"/>
      <c r="I1" s="187"/>
      <c r="AMH1" s="0"/>
      <c r="AMI1" s="0"/>
      <c r="AMJ1" s="0"/>
    </row>
    <row r="2" s="1" customFormat="true" ht="17.35" hidden="false" customHeight="false" outlineLevel="0" collapsed="false">
      <c r="B2" s="129" t="str">
        <f aca="false">UG</f>
        <v>UNIDADE GESTORA (SIGLA): PRMS</v>
      </c>
      <c r="C2" s="129"/>
      <c r="D2" s="129"/>
      <c r="E2" s="129"/>
      <c r="F2" s="130" t="s">
        <v>2</v>
      </c>
      <c r="G2" s="131" t="n">
        <f aca="false">IF(DATA_DO_ORCAMENTO_ESTIMATIVO="","",DATA_DO_ORCAMENTO_ESTIMATIVO)</f>
        <v>44915</v>
      </c>
      <c r="H2" s="130"/>
      <c r="I2" s="131"/>
      <c r="AMH2" s="0"/>
      <c r="AMI2" s="0"/>
      <c r="AMJ2" s="0"/>
    </row>
    <row r="3" s="1" customFormat="true" ht="16.5" hidden="false" customHeight="true" outlineLevel="0" collapsed="false">
      <c r="B3" s="3"/>
      <c r="C3" s="229"/>
      <c r="D3" s="3"/>
      <c r="E3" s="3"/>
      <c r="F3" s="3"/>
      <c r="G3" s="3"/>
      <c r="AMH3" s="0"/>
      <c r="AMI3" s="0"/>
      <c r="AMJ3" s="0"/>
    </row>
    <row r="4" s="1" customFormat="true" ht="16.5" hidden="false" customHeight="true" outlineLevel="0" collapsed="false">
      <c r="B4" s="3"/>
      <c r="C4" s="229"/>
      <c r="D4" s="3"/>
      <c r="E4" s="3"/>
      <c r="F4" s="3"/>
      <c r="G4" s="3"/>
      <c r="AMH4" s="0"/>
      <c r="AMI4" s="0"/>
      <c r="AMJ4" s="0"/>
    </row>
    <row r="5" s="1" customFormat="true" ht="32.65" hidden="false" customHeight="true" outlineLevel="0" collapsed="false">
      <c r="B5" s="230" t="s">
        <v>307</v>
      </c>
      <c r="C5" s="230"/>
      <c r="D5" s="230"/>
      <c r="E5" s="230"/>
      <c r="F5" s="230"/>
      <c r="G5" s="230"/>
      <c r="H5" s="230"/>
      <c r="I5" s="230"/>
      <c r="AMH5" s="0"/>
      <c r="AMI5" s="0"/>
      <c r="AMJ5" s="0"/>
    </row>
    <row r="6" s="1" customFormat="true" ht="116.1" hidden="false" customHeight="true" outlineLevel="0" collapsed="false">
      <c r="A6" s="231"/>
      <c r="B6" s="230" t="s">
        <v>308</v>
      </c>
      <c r="C6" s="230" t="s">
        <v>309</v>
      </c>
      <c r="D6" s="230" t="s">
        <v>310</v>
      </c>
      <c r="E6" s="230" t="s">
        <v>311</v>
      </c>
      <c r="F6" s="230" t="s">
        <v>312</v>
      </c>
      <c r="G6" s="230" t="s">
        <v>313</v>
      </c>
      <c r="H6" s="230" t="s">
        <v>314</v>
      </c>
      <c r="I6" s="230" t="s">
        <v>315</v>
      </c>
      <c r="AMH6" s="0"/>
      <c r="AMI6" s="0"/>
      <c r="AMJ6" s="0"/>
    </row>
    <row r="7" s="1" customFormat="true" ht="32.65" hidden="false" customHeight="true" outlineLevel="0" collapsed="false">
      <c r="A7" s="231"/>
      <c r="B7" s="230"/>
      <c r="C7" s="230"/>
      <c r="D7" s="230"/>
      <c r="E7" s="230" t="s">
        <v>134</v>
      </c>
      <c r="F7" s="230" t="s">
        <v>135</v>
      </c>
      <c r="G7" s="230" t="s">
        <v>136</v>
      </c>
      <c r="H7" s="230" t="s">
        <v>137</v>
      </c>
      <c r="I7" s="230" t="s">
        <v>316</v>
      </c>
      <c r="AMH7" s="0"/>
      <c r="AMI7" s="0"/>
      <c r="AMJ7" s="0"/>
    </row>
    <row r="8" s="1" customFormat="true" ht="57.4" hidden="false" customHeight="true" outlineLevel="0" collapsed="false">
      <c r="A8" s="231"/>
      <c r="B8" s="232" t="n">
        <v>1</v>
      </c>
      <c r="C8" s="233" t="s">
        <v>317</v>
      </c>
      <c r="D8" s="232" t="s">
        <v>318</v>
      </c>
      <c r="E8" s="234" t="n">
        <v>1</v>
      </c>
      <c r="F8" s="235" t="n">
        <v>1</v>
      </c>
      <c r="G8" s="235" t="n">
        <f aca="false">E8*F8</f>
        <v>1</v>
      </c>
      <c r="H8" s="236" t="n">
        <v>142.13</v>
      </c>
      <c r="I8" s="237" t="n">
        <f aca="false">G8*H8</f>
        <v>142.13</v>
      </c>
      <c r="AMH8" s="0"/>
      <c r="AMI8" s="0"/>
      <c r="AMJ8" s="0"/>
    </row>
    <row r="9" s="1" customFormat="true" ht="57.4" hidden="false" customHeight="true" outlineLevel="0" collapsed="false">
      <c r="A9" s="231"/>
      <c r="B9" s="232" t="n">
        <v>2</v>
      </c>
      <c r="C9" s="233" t="s">
        <v>319</v>
      </c>
      <c r="D9" s="232" t="s">
        <v>318</v>
      </c>
      <c r="E9" s="234" t="n">
        <v>2</v>
      </c>
      <c r="F9" s="235" t="n">
        <v>2</v>
      </c>
      <c r="G9" s="235" t="n">
        <f aca="false">E9*F9</f>
        <v>4</v>
      </c>
      <c r="H9" s="236" t="n">
        <v>63.35</v>
      </c>
      <c r="I9" s="237" t="n">
        <f aca="false">G9*H9</f>
        <v>253.4</v>
      </c>
      <c r="AMH9" s="0"/>
      <c r="AMI9" s="0"/>
      <c r="AMJ9" s="0"/>
    </row>
    <row r="10" s="1" customFormat="true" ht="40.7" hidden="false" customHeight="true" outlineLevel="0" collapsed="false">
      <c r="A10" s="231"/>
      <c r="B10" s="232" t="n">
        <v>3</v>
      </c>
      <c r="C10" s="233" t="s">
        <v>320</v>
      </c>
      <c r="D10" s="232" t="s">
        <v>318</v>
      </c>
      <c r="E10" s="234" t="n">
        <v>2</v>
      </c>
      <c r="F10" s="235" t="n">
        <v>2</v>
      </c>
      <c r="G10" s="235" t="n">
        <f aca="false">E10*F10</f>
        <v>4</v>
      </c>
      <c r="H10" s="236" t="n">
        <v>34.93</v>
      </c>
      <c r="I10" s="237" t="n">
        <f aca="false">G10*H10</f>
        <v>139.72</v>
      </c>
      <c r="AMH10" s="0"/>
      <c r="AMI10" s="0"/>
      <c r="AMJ10" s="0"/>
    </row>
    <row r="11" s="1" customFormat="true" ht="80.55" hidden="false" customHeight="true" outlineLevel="0" collapsed="false">
      <c r="A11" s="231"/>
      <c r="B11" s="232" t="n">
        <v>4</v>
      </c>
      <c r="C11" s="233" t="s">
        <v>321</v>
      </c>
      <c r="D11" s="232" t="s">
        <v>318</v>
      </c>
      <c r="E11" s="234" t="n">
        <v>1</v>
      </c>
      <c r="F11" s="235" t="n">
        <v>2</v>
      </c>
      <c r="G11" s="235" t="n">
        <f aca="false">E11*F11</f>
        <v>2</v>
      </c>
      <c r="H11" s="236" t="n">
        <v>75.03</v>
      </c>
      <c r="I11" s="237" t="n">
        <f aca="false">G11*H11</f>
        <v>150.06</v>
      </c>
      <c r="AMH11" s="0"/>
      <c r="AMI11" s="0"/>
      <c r="AMJ11" s="0"/>
    </row>
    <row r="12" s="1" customFormat="true" ht="40.7" hidden="false" customHeight="true" outlineLevel="0" collapsed="false">
      <c r="A12" s="231"/>
      <c r="B12" s="232" t="n">
        <v>6</v>
      </c>
      <c r="C12" s="233" t="s">
        <v>322</v>
      </c>
      <c r="D12" s="232" t="s">
        <v>318</v>
      </c>
      <c r="E12" s="234" t="n">
        <v>1</v>
      </c>
      <c r="F12" s="235" t="n">
        <v>2</v>
      </c>
      <c r="G12" s="235" t="n">
        <f aca="false">E12*F12</f>
        <v>2</v>
      </c>
      <c r="H12" s="236" t="n">
        <v>43.05</v>
      </c>
      <c r="I12" s="237" t="n">
        <f aca="false">G12*H12</f>
        <v>86.1</v>
      </c>
      <c r="AMH12" s="0"/>
      <c r="AMI12" s="0"/>
      <c r="AMJ12" s="0"/>
    </row>
    <row r="13" s="1" customFormat="true" ht="19.35" hidden="false" customHeight="true" outlineLevel="0" collapsed="false">
      <c r="B13" s="238" t="s">
        <v>323</v>
      </c>
      <c r="C13" s="238"/>
      <c r="D13" s="238"/>
      <c r="E13" s="238"/>
      <c r="F13" s="238"/>
      <c r="G13" s="238"/>
      <c r="H13" s="238"/>
      <c r="I13" s="237" t="n">
        <f aca="false">SUM(I8:I12)</f>
        <v>771.41</v>
      </c>
      <c r="AMH13" s="0"/>
      <c r="AMI13" s="0"/>
      <c r="AMJ13" s="0"/>
    </row>
    <row r="14" s="1" customFormat="true" ht="19.35" hidden="false" customHeight="true" outlineLevel="0" collapsed="false">
      <c r="B14" s="238" t="s">
        <v>324</v>
      </c>
      <c r="C14" s="238"/>
      <c r="D14" s="238"/>
      <c r="E14" s="238"/>
      <c r="F14" s="238"/>
      <c r="G14" s="238"/>
      <c r="H14" s="238"/>
      <c r="I14" s="237" t="n">
        <f aca="false">I13/12</f>
        <v>64.2841666666667</v>
      </c>
      <c r="J14" s="86"/>
      <c r="AMH14" s="0"/>
      <c r="AMI14" s="0"/>
      <c r="AMJ14" s="0"/>
    </row>
    <row r="15" s="1" customFormat="true" ht="16.5" hidden="false" customHeight="true" outlineLevel="0" collapsed="false">
      <c r="B15" s="239"/>
      <c r="C15" s="239"/>
      <c r="D15" s="239"/>
      <c r="E15" s="239"/>
      <c r="F15" s="239"/>
      <c r="G15" s="239"/>
      <c r="H15" s="240"/>
      <c r="I15" s="240"/>
      <c r="AMH15" s="0"/>
      <c r="AMI15" s="0"/>
      <c r="AMJ15" s="0"/>
    </row>
    <row r="16" s="1" customFormat="true" ht="16.5" hidden="false" customHeight="true" outlineLevel="0" collapsed="false">
      <c r="B16" s="239"/>
      <c r="C16" s="239"/>
      <c r="D16" s="239"/>
      <c r="E16" s="239"/>
      <c r="F16" s="239"/>
      <c r="G16" s="239"/>
      <c r="H16" s="240"/>
      <c r="I16" s="240"/>
      <c r="AMH16" s="0"/>
      <c r="AMI16" s="0"/>
      <c r="AMJ16" s="0"/>
    </row>
    <row r="17" s="1" customFormat="true" ht="16.5" hidden="false" customHeight="true" outlineLevel="0" collapsed="false">
      <c r="B17" s="239"/>
      <c r="C17" s="239"/>
      <c r="D17" s="239"/>
      <c r="E17" s="239"/>
      <c r="F17" s="239"/>
      <c r="G17" s="239"/>
      <c r="H17" s="240"/>
      <c r="I17" s="240"/>
      <c r="AMH17" s="0"/>
      <c r="AMI17" s="0"/>
      <c r="AMJ17" s="0"/>
    </row>
    <row r="18" s="1" customFormat="true" ht="16.5" hidden="false" customHeight="true" outlineLevel="0" collapsed="false">
      <c r="B18" s="239"/>
      <c r="C18" s="239"/>
      <c r="D18" s="239"/>
      <c r="E18" s="239"/>
      <c r="F18" s="239"/>
      <c r="G18" s="239"/>
      <c r="H18" s="240"/>
      <c r="I18" s="240"/>
      <c r="AMH18" s="0"/>
      <c r="AMI18" s="0"/>
      <c r="AMJ18" s="0"/>
    </row>
    <row r="19" s="1" customFormat="true" ht="16.5" hidden="false" customHeight="true" outlineLevel="0" collapsed="false">
      <c r="B19" s="230" t="s">
        <v>154</v>
      </c>
      <c r="C19" s="230"/>
      <c r="D19" s="230"/>
      <c r="E19" s="230"/>
      <c r="F19" s="230"/>
      <c r="G19" s="230"/>
      <c r="H19" s="230"/>
      <c r="I19" s="230"/>
      <c r="AMH19" s="0"/>
      <c r="AMI19" s="0"/>
      <c r="AMJ19" s="0"/>
    </row>
    <row r="20" s="1" customFormat="true" ht="16.5" hidden="false" customHeight="true" outlineLevel="0" collapsed="false">
      <c r="B20" s="106" t="s">
        <v>325</v>
      </c>
      <c r="C20" s="106"/>
      <c r="D20" s="106"/>
      <c r="E20" s="106"/>
      <c r="F20" s="106"/>
      <c r="G20" s="106"/>
      <c r="H20" s="106"/>
      <c r="I20" s="106"/>
      <c r="AMH20" s="0"/>
      <c r="AMI20" s="0"/>
      <c r="AMJ20" s="0"/>
    </row>
    <row r="21" s="1" customFormat="true" ht="16.5" hidden="false" customHeight="true" outlineLevel="0" collapsed="false">
      <c r="B21" s="107" t="s">
        <v>326</v>
      </c>
      <c r="C21" s="107"/>
      <c r="D21" s="107"/>
      <c r="E21" s="107"/>
      <c r="F21" s="107"/>
      <c r="G21" s="107"/>
      <c r="H21" s="107"/>
      <c r="I21" s="107"/>
      <c r="AMH21" s="0"/>
      <c r="AMI21" s="0"/>
      <c r="AMJ21" s="0"/>
    </row>
    <row r="22" s="1" customFormat="true" ht="16.5" hidden="false" customHeight="true" outlineLevel="0" collapsed="false">
      <c r="B22" s="107"/>
      <c r="C22" s="107"/>
      <c r="D22" s="107"/>
      <c r="E22" s="107"/>
      <c r="F22" s="107"/>
      <c r="G22" s="107"/>
      <c r="H22" s="107"/>
      <c r="I22" s="107"/>
      <c r="AMH22" s="0"/>
      <c r="AMI22" s="0"/>
      <c r="AMJ22" s="0"/>
    </row>
    <row r="23" s="1" customFormat="true" ht="16.5" hidden="false" customHeight="true" outlineLevel="0" collapsed="false">
      <c r="B23" s="108" t="s">
        <v>327</v>
      </c>
      <c r="C23" s="108"/>
      <c r="D23" s="108"/>
      <c r="E23" s="108"/>
      <c r="F23" s="108"/>
      <c r="G23" s="108"/>
      <c r="H23" s="108"/>
      <c r="I23" s="108"/>
      <c r="AMH23" s="0"/>
      <c r="AMI23" s="0"/>
      <c r="AMJ23" s="0"/>
    </row>
    <row r="24" s="1" customFormat="true" ht="16.5" hidden="false" customHeight="true" outlineLevel="0" collapsed="false">
      <c r="B24" s="108"/>
      <c r="C24" s="108"/>
      <c r="D24" s="108"/>
      <c r="E24" s="108"/>
      <c r="F24" s="108"/>
      <c r="G24" s="108"/>
      <c r="H24" s="108"/>
      <c r="I24" s="108"/>
      <c r="AMH24" s="0"/>
      <c r="AMI24" s="0"/>
      <c r="AMJ24" s="0"/>
    </row>
    <row r="25" s="1" customFormat="true" ht="16.5" hidden="false" customHeight="true" outlineLevel="0" collapsed="false">
      <c r="B25" s="107" t="s">
        <v>328</v>
      </c>
      <c r="C25" s="107"/>
      <c r="D25" s="107"/>
      <c r="E25" s="107"/>
      <c r="F25" s="107"/>
      <c r="G25" s="107"/>
      <c r="H25" s="107"/>
      <c r="I25" s="107"/>
      <c r="AMH25" s="0"/>
      <c r="AMI25" s="0"/>
      <c r="AMJ25" s="0"/>
    </row>
    <row r="26" s="1" customFormat="true" ht="16.5" hidden="false" customHeight="true" outlineLevel="0" collapsed="false">
      <c r="B26" s="107"/>
      <c r="C26" s="107"/>
      <c r="D26" s="107"/>
      <c r="E26" s="107"/>
      <c r="F26" s="107"/>
      <c r="G26" s="107"/>
      <c r="H26" s="107"/>
      <c r="I26" s="107"/>
      <c r="AMH26" s="0"/>
      <c r="AMI26" s="0"/>
      <c r="AMJ26" s="0"/>
    </row>
    <row r="27" s="1" customFormat="true" ht="16.5" hidden="false" customHeight="true" outlineLevel="0" collapsed="false">
      <c r="B27" s="3"/>
      <c r="C27" s="229"/>
      <c r="D27" s="3"/>
      <c r="E27" s="3"/>
      <c r="F27" s="3"/>
      <c r="G27" s="3"/>
      <c r="AMH27" s="0"/>
      <c r="AMI27" s="0"/>
      <c r="AMJ27" s="0"/>
    </row>
    <row r="28" customFormat="false" ht="12.8" hidden="false" customHeight="false" outlineLevel="0" collapsed="false">
      <c r="G28" s="241"/>
    </row>
  </sheetData>
  <mergeCells count="14">
    <mergeCell ref="B1:I1"/>
    <mergeCell ref="B2:E2"/>
    <mergeCell ref="B5:I5"/>
    <mergeCell ref="B6:B7"/>
    <mergeCell ref="C6:C7"/>
    <mergeCell ref="D6:D7"/>
    <mergeCell ref="H6:H7"/>
    <mergeCell ref="B13:H13"/>
    <mergeCell ref="B14:H14"/>
    <mergeCell ref="B19:I19"/>
    <mergeCell ref="B20:I20"/>
    <mergeCell ref="B21:I22"/>
    <mergeCell ref="B23:I24"/>
    <mergeCell ref="B25:I26"/>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5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AMJ111"/>
  <sheetViews>
    <sheetView showFormulas="false" showGridLines="true" showRowColHeaders="true" showZeros="true" rightToLeft="false" tabSelected="false" showOutlineSymbols="true" defaultGridColor="true" view="normal" topLeftCell="C1" colorId="64" zoomScale="80" zoomScaleNormal="80" zoomScalePageLayoutView="100" workbookViewId="0">
      <selection pane="topLeft" activeCell="N86" activeCellId="0" sqref="N86"/>
    </sheetView>
  </sheetViews>
  <sheetFormatPr defaultRowHeight="12.8" zeroHeight="false" outlineLevelRow="0" outlineLevelCol="0"/>
  <cols>
    <col collapsed="false" customWidth="true" hidden="false" outlineLevel="0" max="1" min="1" style="227" width="1.71"/>
    <col collapsed="false" customWidth="true" hidden="false" outlineLevel="0" max="2" min="2" style="227" width="8.57"/>
    <col collapsed="false" customWidth="true" hidden="false" outlineLevel="0" max="3" min="3" style="228" width="32"/>
    <col collapsed="false" customWidth="true" hidden="false" outlineLevel="0" max="5" min="4" style="227" width="20.86"/>
    <col collapsed="false" customWidth="true" hidden="false" outlineLevel="0" max="6" min="6" style="227" width="19.31"/>
    <col collapsed="false" customWidth="true" hidden="false" outlineLevel="0" max="7" min="7" style="227" width="18.58"/>
    <col collapsed="false" customWidth="true" hidden="false" outlineLevel="0" max="8" min="8" style="227" width="17.71"/>
    <col collapsed="false" customWidth="true" hidden="false" outlineLevel="0" max="9" min="9" style="227" width="15.15"/>
    <col collapsed="false" customWidth="true" hidden="false" outlineLevel="0" max="10" min="10" style="227" width="11.71"/>
    <col collapsed="false" customWidth="true" hidden="false" outlineLevel="0" max="11" min="11" style="227" width="14.57"/>
    <col collapsed="false" customWidth="true" hidden="false" outlineLevel="0" max="1019" min="12" style="227" width="9.13"/>
    <col collapsed="false" customWidth="false" hidden="false" outlineLevel="0" max="1025" min="1020" style="0" width="11.52"/>
  </cols>
  <sheetData>
    <row r="1" s="1" customFormat="true" ht="20.25" hidden="false" customHeight="true" outlineLevel="0" collapsed="false">
      <c r="B1" s="187" t="str">
        <f aca="false">RAMO</f>
        <v>RAMO: MINISTÉRIO PÚBLICO FEDERAL</v>
      </c>
      <c r="C1" s="187"/>
      <c r="D1" s="187"/>
      <c r="E1" s="187"/>
      <c r="F1" s="187"/>
      <c r="G1" s="187"/>
      <c r="H1" s="187"/>
      <c r="I1" s="187"/>
      <c r="J1" s="187"/>
      <c r="K1" s="187"/>
      <c r="AMF1" s="0"/>
      <c r="AMG1" s="0"/>
      <c r="AMH1" s="0"/>
      <c r="AMI1" s="0"/>
      <c r="AMJ1" s="0"/>
    </row>
    <row r="2" s="1" customFormat="true" ht="17.35" hidden="false" customHeight="false" outlineLevel="0" collapsed="false">
      <c r="B2" s="129" t="str">
        <f aca="false">UG</f>
        <v>UNIDADE GESTORA (SIGLA): PRMS</v>
      </c>
      <c r="C2" s="129"/>
      <c r="D2" s="129"/>
      <c r="E2" s="129"/>
      <c r="F2" s="130" t="s">
        <v>2</v>
      </c>
      <c r="G2" s="131" t="n">
        <f aca="false">IF(DATA_DO_ORCAMENTO_ESTIMATIVO="","",DATA_DO_ORCAMENTO_ESTIMATIVO)</f>
        <v>44915</v>
      </c>
      <c r="H2" s="242"/>
      <c r="I2" s="242"/>
      <c r="J2" s="130"/>
      <c r="K2" s="131"/>
      <c r="AMF2" s="0"/>
      <c r="AMG2" s="0"/>
      <c r="AMH2" s="0"/>
      <c r="AMI2" s="0"/>
      <c r="AMJ2" s="0"/>
    </row>
    <row r="3" s="1" customFormat="true" ht="16.5" hidden="false" customHeight="true" outlineLevel="0" collapsed="false">
      <c r="B3" s="3"/>
      <c r="C3" s="229"/>
      <c r="D3" s="3"/>
      <c r="E3" s="3"/>
      <c r="F3" s="3"/>
      <c r="G3" s="3"/>
      <c r="AMF3" s="0"/>
      <c r="AMG3" s="0"/>
      <c r="AMH3" s="0"/>
      <c r="AMI3" s="0"/>
      <c r="AMJ3" s="0"/>
    </row>
    <row r="4" s="1" customFormat="true" ht="16.5" hidden="false" customHeight="true" outlineLevel="0" collapsed="false">
      <c r="B4" s="3"/>
      <c r="C4" s="229"/>
      <c r="D4" s="3"/>
      <c r="E4" s="3"/>
      <c r="F4" s="3"/>
      <c r="G4" s="3"/>
      <c r="AMF4" s="0"/>
      <c r="AMG4" s="0"/>
      <c r="AMH4" s="0"/>
      <c r="AMI4" s="0"/>
      <c r="AMJ4" s="0"/>
    </row>
    <row r="5" s="1" customFormat="true" ht="17.1" hidden="false" customHeight="true" outlineLevel="0" collapsed="false">
      <c r="B5" s="230" t="s">
        <v>329</v>
      </c>
      <c r="C5" s="230"/>
      <c r="D5" s="230"/>
      <c r="E5" s="230"/>
      <c r="F5" s="230"/>
      <c r="G5" s="230"/>
      <c r="H5" s="230"/>
      <c r="I5" s="230"/>
      <c r="J5" s="230"/>
      <c r="K5" s="230"/>
      <c r="AMF5" s="0"/>
      <c r="AMG5" s="0"/>
      <c r="AMH5" s="0"/>
      <c r="AMI5" s="0"/>
      <c r="AMJ5" s="0"/>
    </row>
    <row r="6" s="1" customFormat="true" ht="31.35" hidden="false" customHeight="true" outlineLevel="0" collapsed="false">
      <c r="A6" s="231"/>
      <c r="B6" s="230" t="s">
        <v>308</v>
      </c>
      <c r="C6" s="230" t="s">
        <v>127</v>
      </c>
      <c r="D6" s="230" t="s">
        <v>310</v>
      </c>
      <c r="E6" s="230" t="s">
        <v>330</v>
      </c>
      <c r="F6" s="230"/>
      <c r="G6" s="230"/>
      <c r="H6" s="230"/>
      <c r="I6" s="230" t="s">
        <v>331</v>
      </c>
      <c r="J6" s="230" t="s">
        <v>332</v>
      </c>
      <c r="K6" s="230" t="s">
        <v>333</v>
      </c>
      <c r="AMF6" s="0"/>
      <c r="AMG6" s="0"/>
      <c r="AMH6" s="0"/>
      <c r="AMI6" s="0"/>
      <c r="AMJ6" s="0"/>
    </row>
    <row r="7" s="1" customFormat="true" ht="32.8" hidden="false" customHeight="false" outlineLevel="0" collapsed="false">
      <c r="A7" s="231"/>
      <c r="B7" s="230"/>
      <c r="C7" s="230"/>
      <c r="D7" s="230"/>
      <c r="E7" s="230" t="s">
        <v>334</v>
      </c>
      <c r="F7" s="230" t="s">
        <v>108</v>
      </c>
      <c r="G7" s="230" t="s">
        <v>109</v>
      </c>
      <c r="H7" s="230" t="s">
        <v>110</v>
      </c>
      <c r="I7" s="230"/>
      <c r="J7" s="230"/>
      <c r="K7" s="230"/>
      <c r="AMF7" s="0"/>
      <c r="AMG7" s="0"/>
      <c r="AMH7" s="0"/>
      <c r="AMI7" s="0"/>
      <c r="AMJ7" s="0"/>
    </row>
    <row r="8" s="1" customFormat="true" ht="17.15" hidden="false" customHeight="false" outlineLevel="0" collapsed="false">
      <c r="A8" s="231"/>
      <c r="B8" s="230"/>
      <c r="C8" s="230"/>
      <c r="D8" s="230"/>
      <c r="E8" s="230" t="s">
        <v>134</v>
      </c>
      <c r="F8" s="230" t="s">
        <v>135</v>
      </c>
      <c r="G8" s="230" t="s">
        <v>136</v>
      </c>
      <c r="H8" s="230" t="s">
        <v>137</v>
      </c>
      <c r="I8" s="230" t="s">
        <v>316</v>
      </c>
      <c r="J8" s="230" t="s">
        <v>335</v>
      </c>
      <c r="K8" s="230" t="s">
        <v>138</v>
      </c>
      <c r="AMF8" s="0"/>
      <c r="AMG8" s="0"/>
      <c r="AMH8" s="0"/>
      <c r="AMI8" s="0"/>
      <c r="AMJ8" s="0"/>
    </row>
    <row r="9" s="1" customFormat="true" ht="19.35" hidden="false" customHeight="true" outlineLevel="0" collapsed="false">
      <c r="A9" s="231"/>
      <c r="B9" s="232" t="n">
        <v>1</v>
      </c>
      <c r="C9" s="233" t="s">
        <v>336</v>
      </c>
      <c r="D9" s="232" t="s">
        <v>337</v>
      </c>
      <c r="E9" s="234" t="n">
        <v>7</v>
      </c>
      <c r="F9" s="235" t="n">
        <v>3</v>
      </c>
      <c r="G9" s="235" t="n">
        <v>1</v>
      </c>
      <c r="H9" s="235" t="n">
        <v>1</v>
      </c>
      <c r="I9" s="243" t="n">
        <f aca="false">SUM(E9:H9)</f>
        <v>12</v>
      </c>
      <c r="J9" s="244" t="n">
        <v>11.33</v>
      </c>
      <c r="K9" s="237" t="n">
        <f aca="false">I9*J9</f>
        <v>135.96</v>
      </c>
      <c r="AMF9" s="0"/>
      <c r="AMG9" s="0"/>
      <c r="AMH9" s="0"/>
      <c r="AMI9" s="0"/>
      <c r="AMJ9" s="0"/>
    </row>
    <row r="10" s="1" customFormat="true" ht="19.35" hidden="false" customHeight="true" outlineLevel="0" collapsed="false">
      <c r="A10" s="231"/>
      <c r="B10" s="232" t="n">
        <v>2</v>
      </c>
      <c r="C10" s="233" t="s">
        <v>338</v>
      </c>
      <c r="D10" s="232" t="s">
        <v>339</v>
      </c>
      <c r="E10" s="234" t="n">
        <v>20</v>
      </c>
      <c r="F10" s="235" t="n">
        <v>6</v>
      </c>
      <c r="G10" s="235" t="n">
        <v>4</v>
      </c>
      <c r="H10" s="235" t="n">
        <v>6</v>
      </c>
      <c r="I10" s="243" t="n">
        <f aca="false">SUM(E10:H10)</f>
        <v>36</v>
      </c>
      <c r="J10" s="244" t="n">
        <v>5.99</v>
      </c>
      <c r="K10" s="237" t="n">
        <f aca="false">I10*J10</f>
        <v>215.64</v>
      </c>
      <c r="AMF10" s="0"/>
      <c r="AMG10" s="0"/>
      <c r="AMH10" s="0"/>
      <c r="AMI10" s="0"/>
      <c r="AMJ10" s="0"/>
    </row>
    <row r="11" s="1" customFormat="true" ht="19.35" hidden="false" customHeight="true" outlineLevel="0" collapsed="false">
      <c r="A11" s="231"/>
      <c r="B11" s="232" t="n">
        <v>3</v>
      </c>
      <c r="C11" s="233" t="s">
        <v>340</v>
      </c>
      <c r="D11" s="232" t="s">
        <v>341</v>
      </c>
      <c r="E11" s="234" t="n">
        <v>30</v>
      </c>
      <c r="F11" s="235" t="n">
        <v>3</v>
      </c>
      <c r="G11" s="235" t="n">
        <v>2</v>
      </c>
      <c r="H11" s="235" t="n">
        <v>2</v>
      </c>
      <c r="I11" s="243" t="n">
        <f aca="false">SUM(E11:H11)</f>
        <v>37</v>
      </c>
      <c r="J11" s="244" t="n">
        <v>8.35</v>
      </c>
      <c r="K11" s="237" t="n">
        <f aca="false">I11*J11</f>
        <v>308.95</v>
      </c>
      <c r="AMF11" s="0"/>
      <c r="AMG11" s="0"/>
      <c r="AMH11" s="0"/>
      <c r="AMI11" s="0"/>
      <c r="AMJ11" s="0"/>
    </row>
    <row r="12" s="1" customFormat="true" ht="34.15" hidden="false" customHeight="true" outlineLevel="0" collapsed="false">
      <c r="A12" s="231"/>
      <c r="B12" s="232" t="n">
        <v>4</v>
      </c>
      <c r="C12" s="233" t="s">
        <v>342</v>
      </c>
      <c r="D12" s="232" t="s">
        <v>341</v>
      </c>
      <c r="E12" s="234" t="n">
        <v>30</v>
      </c>
      <c r="F12" s="235" t="n">
        <v>5</v>
      </c>
      <c r="G12" s="235" t="n">
        <v>4</v>
      </c>
      <c r="H12" s="235" t="n">
        <v>6</v>
      </c>
      <c r="I12" s="243" t="n">
        <f aca="false">SUM(E12:H12)</f>
        <v>45</v>
      </c>
      <c r="J12" s="244" t="n">
        <v>11.06</v>
      </c>
      <c r="K12" s="237" t="n">
        <f aca="false">I12*J12</f>
        <v>497.7</v>
      </c>
      <c r="AMF12" s="0"/>
      <c r="AMG12" s="0"/>
      <c r="AMH12" s="0"/>
      <c r="AMI12" s="0"/>
      <c r="AMJ12" s="0"/>
    </row>
    <row r="13" s="1" customFormat="true" ht="19.35" hidden="false" customHeight="true" outlineLevel="0" collapsed="false">
      <c r="A13" s="231"/>
      <c r="B13" s="232" t="n">
        <v>5</v>
      </c>
      <c r="C13" s="233" t="s">
        <v>343</v>
      </c>
      <c r="D13" s="232" t="s">
        <v>337</v>
      </c>
      <c r="E13" s="234" t="n">
        <v>1</v>
      </c>
      <c r="F13" s="235" t="n">
        <v>0</v>
      </c>
      <c r="G13" s="235" t="n">
        <v>0</v>
      </c>
      <c r="H13" s="235" t="n">
        <v>1</v>
      </c>
      <c r="I13" s="243" t="n">
        <f aca="false">SUM(E13:H13)</f>
        <v>2</v>
      </c>
      <c r="J13" s="244" t="n">
        <v>61.43</v>
      </c>
      <c r="K13" s="237" t="n">
        <f aca="false">I13*J13</f>
        <v>122.86</v>
      </c>
      <c r="AMF13" s="0"/>
      <c r="AMG13" s="0"/>
      <c r="AMH13" s="0"/>
      <c r="AMI13" s="0"/>
      <c r="AMJ13" s="0"/>
    </row>
    <row r="14" s="1" customFormat="true" ht="34.15" hidden="false" customHeight="true" outlineLevel="0" collapsed="false">
      <c r="A14" s="231"/>
      <c r="B14" s="232" t="n">
        <v>6</v>
      </c>
      <c r="C14" s="233" t="s">
        <v>344</v>
      </c>
      <c r="D14" s="232" t="s">
        <v>345</v>
      </c>
      <c r="E14" s="234" t="n">
        <v>9</v>
      </c>
      <c r="F14" s="235" t="n">
        <v>2</v>
      </c>
      <c r="G14" s="235" t="n">
        <v>1</v>
      </c>
      <c r="H14" s="235" t="n">
        <v>2</v>
      </c>
      <c r="I14" s="243" t="n">
        <f aca="false">SUM(E14:H14)</f>
        <v>14</v>
      </c>
      <c r="J14" s="244" t="n">
        <v>26.35</v>
      </c>
      <c r="K14" s="237" t="n">
        <f aca="false">I14*J14</f>
        <v>368.9</v>
      </c>
      <c r="AMF14" s="0"/>
      <c r="AMG14" s="0"/>
      <c r="AMH14" s="0"/>
      <c r="AMI14" s="0"/>
      <c r="AMJ14" s="0"/>
    </row>
    <row r="15" s="1" customFormat="true" ht="34.15" hidden="false" customHeight="true" outlineLevel="0" collapsed="false">
      <c r="A15" s="231"/>
      <c r="B15" s="232" t="n">
        <v>7</v>
      </c>
      <c r="C15" s="233" t="s">
        <v>346</v>
      </c>
      <c r="D15" s="232" t="s">
        <v>347</v>
      </c>
      <c r="E15" s="234" t="n">
        <v>5</v>
      </c>
      <c r="F15" s="235" t="n">
        <v>11</v>
      </c>
      <c r="G15" s="235" t="n">
        <v>3</v>
      </c>
      <c r="H15" s="235" t="n">
        <v>5</v>
      </c>
      <c r="I15" s="243" t="n">
        <f aca="false">SUM(E15:H15)</f>
        <v>24</v>
      </c>
      <c r="J15" s="244" t="n">
        <v>1.93</v>
      </c>
      <c r="K15" s="237" t="n">
        <f aca="false">I15*J15</f>
        <v>46.32</v>
      </c>
      <c r="AMF15" s="0"/>
      <c r="AMG15" s="0"/>
      <c r="AMH15" s="0"/>
      <c r="AMI15" s="0"/>
      <c r="AMJ15" s="0"/>
    </row>
    <row r="16" s="1" customFormat="true" ht="34.15" hidden="false" customHeight="true" outlineLevel="0" collapsed="false">
      <c r="A16" s="231"/>
      <c r="B16" s="232" t="n">
        <v>8</v>
      </c>
      <c r="C16" s="233" t="s">
        <v>348</v>
      </c>
      <c r="D16" s="232" t="s">
        <v>318</v>
      </c>
      <c r="E16" s="234" t="n">
        <v>3</v>
      </c>
      <c r="F16" s="235" t="n">
        <v>1</v>
      </c>
      <c r="G16" s="235" t="n">
        <v>1</v>
      </c>
      <c r="H16" s="235" t="n">
        <v>1</v>
      </c>
      <c r="I16" s="243" t="n">
        <f aca="false">SUM(E16:H16)</f>
        <v>6</v>
      </c>
      <c r="J16" s="244" t="n">
        <v>8.1</v>
      </c>
      <c r="K16" s="237" t="n">
        <f aca="false">I16*J16</f>
        <v>48.6</v>
      </c>
      <c r="AMF16" s="0"/>
      <c r="AMG16" s="0"/>
      <c r="AMH16" s="0"/>
      <c r="AMI16" s="0"/>
      <c r="AMJ16" s="0"/>
    </row>
    <row r="17" s="1" customFormat="true" ht="19.35" hidden="false" customHeight="true" outlineLevel="0" collapsed="false">
      <c r="A17" s="231"/>
      <c r="B17" s="232" t="n">
        <v>9</v>
      </c>
      <c r="C17" s="233" t="s">
        <v>349</v>
      </c>
      <c r="D17" s="232" t="s">
        <v>318</v>
      </c>
      <c r="E17" s="234" t="n">
        <v>19</v>
      </c>
      <c r="F17" s="235" t="n">
        <v>9</v>
      </c>
      <c r="G17" s="235" t="n">
        <v>10</v>
      </c>
      <c r="H17" s="235" t="n">
        <v>9</v>
      </c>
      <c r="I17" s="243" t="n">
        <f aca="false">SUM(E17:H17)</f>
        <v>47</v>
      </c>
      <c r="J17" s="244" t="n">
        <v>1.5</v>
      </c>
      <c r="K17" s="237" t="n">
        <f aca="false">I17*J17</f>
        <v>70.5</v>
      </c>
      <c r="AMF17" s="0"/>
      <c r="AMG17" s="0"/>
      <c r="AMH17" s="0"/>
      <c r="AMI17" s="0"/>
      <c r="AMJ17" s="0"/>
    </row>
    <row r="18" s="1" customFormat="true" ht="35.1" hidden="false" customHeight="false" outlineLevel="0" collapsed="false">
      <c r="A18" s="231"/>
      <c r="B18" s="232" t="n">
        <v>10</v>
      </c>
      <c r="C18" s="233" t="s">
        <v>350</v>
      </c>
      <c r="D18" s="232" t="s">
        <v>318</v>
      </c>
      <c r="E18" s="234" t="n">
        <v>6</v>
      </c>
      <c r="F18" s="235" t="n">
        <v>4</v>
      </c>
      <c r="G18" s="235" t="n">
        <v>4</v>
      </c>
      <c r="H18" s="235" t="n">
        <v>4</v>
      </c>
      <c r="I18" s="243" t="n">
        <f aca="false">SUM(E18:H18)</f>
        <v>18</v>
      </c>
      <c r="J18" s="244" t="n">
        <v>5.6</v>
      </c>
      <c r="K18" s="237" t="n">
        <f aca="false">I18*J18</f>
        <v>100.8</v>
      </c>
      <c r="AMF18" s="0"/>
      <c r="AMG18" s="0"/>
      <c r="AMH18" s="0"/>
      <c r="AMI18" s="0"/>
      <c r="AMJ18" s="0"/>
    </row>
    <row r="19" s="1" customFormat="true" ht="19.35" hidden="false" customHeight="true" outlineLevel="0" collapsed="false">
      <c r="A19" s="231"/>
      <c r="B19" s="232" t="n">
        <v>11</v>
      </c>
      <c r="C19" s="233" t="s">
        <v>351</v>
      </c>
      <c r="D19" s="232" t="s">
        <v>341</v>
      </c>
      <c r="E19" s="234" t="n">
        <v>0.5</v>
      </c>
      <c r="F19" s="235" t="n">
        <v>2</v>
      </c>
      <c r="G19" s="235" t="n">
        <v>1</v>
      </c>
      <c r="H19" s="235" t="n">
        <v>2</v>
      </c>
      <c r="I19" s="243" t="n">
        <f aca="false">SUM(E19:H19)</f>
        <v>5.5</v>
      </c>
      <c r="J19" s="244" t="n">
        <v>12.52</v>
      </c>
      <c r="K19" s="237" t="n">
        <f aca="false">I19*J19</f>
        <v>68.86</v>
      </c>
      <c r="AMF19" s="0"/>
      <c r="AMG19" s="0"/>
      <c r="AMH19" s="0"/>
      <c r="AMI19" s="0"/>
      <c r="AMJ19" s="0"/>
    </row>
    <row r="20" s="1" customFormat="true" ht="18.4" hidden="false" customHeight="false" outlineLevel="0" collapsed="false">
      <c r="A20" s="231"/>
      <c r="B20" s="232" t="n">
        <v>12</v>
      </c>
      <c r="C20" s="233" t="s">
        <v>352</v>
      </c>
      <c r="D20" s="232" t="s">
        <v>318</v>
      </c>
      <c r="E20" s="234" t="n">
        <v>30</v>
      </c>
      <c r="F20" s="235" t="n">
        <v>20</v>
      </c>
      <c r="G20" s="235" t="n">
        <v>0</v>
      </c>
      <c r="H20" s="235" t="n">
        <v>20</v>
      </c>
      <c r="I20" s="243" t="n">
        <f aca="false">SUM(E20:H20)</f>
        <v>70</v>
      </c>
      <c r="J20" s="244" t="n">
        <v>2.69</v>
      </c>
      <c r="K20" s="237" t="n">
        <f aca="false">I20*J20</f>
        <v>188.3</v>
      </c>
      <c r="AMF20" s="0"/>
      <c r="AMG20" s="0"/>
      <c r="AMH20" s="0"/>
      <c r="AMI20" s="0"/>
      <c r="AMJ20" s="0"/>
    </row>
    <row r="21" s="1" customFormat="true" ht="19.35" hidden="false" customHeight="true" outlineLevel="0" collapsed="false">
      <c r="A21" s="231"/>
      <c r="B21" s="232" t="n">
        <v>13</v>
      </c>
      <c r="C21" s="233" t="s">
        <v>353</v>
      </c>
      <c r="D21" s="232" t="s">
        <v>354</v>
      </c>
      <c r="E21" s="234" t="n">
        <v>4</v>
      </c>
      <c r="F21" s="235" t="n">
        <v>1</v>
      </c>
      <c r="G21" s="235" t="n">
        <v>0.5</v>
      </c>
      <c r="H21" s="235" t="n">
        <v>0</v>
      </c>
      <c r="I21" s="243" t="n">
        <f aca="false">SUM(E21:H21)</f>
        <v>5.5</v>
      </c>
      <c r="J21" s="244" t="n">
        <v>33.61</v>
      </c>
      <c r="K21" s="237" t="n">
        <f aca="false">I21*J21</f>
        <v>184.855</v>
      </c>
      <c r="AMF21" s="0"/>
      <c r="AMG21" s="0"/>
      <c r="AMH21" s="0"/>
      <c r="AMI21" s="0"/>
      <c r="AMJ21" s="0"/>
    </row>
    <row r="22" s="1" customFormat="true" ht="19.35" hidden="false" customHeight="true" outlineLevel="0" collapsed="false">
      <c r="A22" s="231"/>
      <c r="B22" s="232" t="n">
        <v>14</v>
      </c>
      <c r="C22" s="233" t="s">
        <v>355</v>
      </c>
      <c r="D22" s="232" t="s">
        <v>345</v>
      </c>
      <c r="E22" s="234" t="n">
        <v>1</v>
      </c>
      <c r="F22" s="235" t="n">
        <v>1</v>
      </c>
      <c r="G22" s="235" t="n">
        <v>0.5</v>
      </c>
      <c r="H22" s="235" t="n">
        <v>2</v>
      </c>
      <c r="I22" s="243" t="n">
        <f aca="false">SUM(E22:H22)</f>
        <v>4.5</v>
      </c>
      <c r="J22" s="244" t="n">
        <v>27.22</v>
      </c>
      <c r="K22" s="237" t="n">
        <f aca="false">I22*J22</f>
        <v>122.49</v>
      </c>
      <c r="AMF22" s="0"/>
      <c r="AMG22" s="0"/>
      <c r="AMH22" s="0"/>
      <c r="AMI22" s="0"/>
      <c r="AMJ22" s="0"/>
    </row>
    <row r="23" s="1" customFormat="true" ht="19.35" hidden="false" customHeight="true" outlineLevel="0" collapsed="false">
      <c r="A23" s="231"/>
      <c r="B23" s="232" t="n">
        <v>15</v>
      </c>
      <c r="C23" s="233" t="s">
        <v>356</v>
      </c>
      <c r="D23" s="232" t="s">
        <v>337</v>
      </c>
      <c r="E23" s="234" t="n">
        <v>5</v>
      </c>
      <c r="F23" s="235" t="n">
        <v>2</v>
      </c>
      <c r="G23" s="235" t="n">
        <v>1</v>
      </c>
      <c r="H23" s="235" t="n">
        <v>1</v>
      </c>
      <c r="I23" s="243" t="n">
        <f aca="false">SUM(E23:H23)</f>
        <v>9</v>
      </c>
      <c r="J23" s="244" t="n">
        <v>34.96</v>
      </c>
      <c r="K23" s="237" t="n">
        <f aca="false">I23*J23</f>
        <v>314.64</v>
      </c>
      <c r="AMF23" s="0"/>
      <c r="AMG23" s="0"/>
      <c r="AMH23" s="0"/>
      <c r="AMI23" s="0"/>
      <c r="AMJ23" s="0"/>
    </row>
    <row r="24" s="1" customFormat="true" ht="19.35" hidden="false" customHeight="true" outlineLevel="0" collapsed="false">
      <c r="A24" s="231"/>
      <c r="B24" s="232" t="n">
        <v>16</v>
      </c>
      <c r="C24" s="233" t="s">
        <v>357</v>
      </c>
      <c r="D24" s="232" t="s">
        <v>318</v>
      </c>
      <c r="E24" s="234" t="n">
        <v>5</v>
      </c>
      <c r="F24" s="235" t="n">
        <v>2</v>
      </c>
      <c r="G24" s="235" t="n">
        <v>1</v>
      </c>
      <c r="H24" s="235" t="n">
        <v>6</v>
      </c>
      <c r="I24" s="243" t="n">
        <f aca="false">SUM(E24:H24)</f>
        <v>14</v>
      </c>
      <c r="J24" s="244" t="n">
        <v>15.5</v>
      </c>
      <c r="K24" s="237" t="n">
        <f aca="false">I24*J24</f>
        <v>217</v>
      </c>
      <c r="AMF24" s="0"/>
      <c r="AMG24" s="0"/>
      <c r="AMH24" s="0"/>
      <c r="AMI24" s="0"/>
      <c r="AMJ24" s="0"/>
    </row>
    <row r="25" s="1" customFormat="true" ht="19.35" hidden="false" customHeight="true" outlineLevel="0" collapsed="false">
      <c r="A25" s="231"/>
      <c r="B25" s="232" t="n">
        <v>17</v>
      </c>
      <c r="C25" s="233" t="s">
        <v>358</v>
      </c>
      <c r="D25" s="232" t="s">
        <v>345</v>
      </c>
      <c r="E25" s="234" t="n">
        <v>5</v>
      </c>
      <c r="F25" s="235" t="n">
        <v>2</v>
      </c>
      <c r="G25" s="235" t="n">
        <v>1</v>
      </c>
      <c r="H25" s="235" t="n">
        <v>1</v>
      </c>
      <c r="I25" s="243" t="n">
        <f aca="false">SUM(E25:H25)</f>
        <v>9</v>
      </c>
      <c r="J25" s="244" t="n">
        <v>31.4</v>
      </c>
      <c r="K25" s="237" t="n">
        <f aca="false">I25*J25</f>
        <v>282.6</v>
      </c>
      <c r="AMF25" s="0"/>
      <c r="AMG25" s="0"/>
      <c r="AMH25" s="0"/>
      <c r="AMI25" s="0"/>
      <c r="AMJ25" s="0"/>
    </row>
    <row r="26" s="1" customFormat="true" ht="19.35" hidden="false" customHeight="true" outlineLevel="0" collapsed="false">
      <c r="A26" s="231"/>
      <c r="B26" s="232" t="n">
        <v>18</v>
      </c>
      <c r="C26" s="233" t="s">
        <v>359</v>
      </c>
      <c r="D26" s="232" t="s">
        <v>318</v>
      </c>
      <c r="E26" s="234" t="n">
        <v>20</v>
      </c>
      <c r="F26" s="235" t="n">
        <v>10</v>
      </c>
      <c r="G26" s="235" t="n">
        <v>4</v>
      </c>
      <c r="H26" s="235" t="n">
        <v>4</v>
      </c>
      <c r="I26" s="243" t="n">
        <f aca="false">SUM(E26:H26)</f>
        <v>38</v>
      </c>
      <c r="J26" s="244" t="n">
        <v>4.42</v>
      </c>
      <c r="K26" s="237" t="n">
        <f aca="false">I26*J26</f>
        <v>167.96</v>
      </c>
      <c r="AMF26" s="0"/>
      <c r="AMG26" s="0"/>
      <c r="AMH26" s="0"/>
      <c r="AMI26" s="0"/>
      <c r="AMJ26" s="0"/>
    </row>
    <row r="27" s="1" customFormat="true" ht="34.15" hidden="false" customHeight="true" outlineLevel="0" collapsed="false">
      <c r="A27" s="231"/>
      <c r="B27" s="232" t="n">
        <v>19</v>
      </c>
      <c r="C27" s="233" t="s">
        <v>360</v>
      </c>
      <c r="D27" s="232" t="s">
        <v>361</v>
      </c>
      <c r="E27" s="234" t="n">
        <v>384</v>
      </c>
      <c r="F27" s="235" t="n">
        <v>197</v>
      </c>
      <c r="G27" s="235" t="n">
        <v>48</v>
      </c>
      <c r="H27" s="235" t="n">
        <v>128</v>
      </c>
      <c r="I27" s="243" t="n">
        <f aca="false">SUM(E27:H27)</f>
        <v>757</v>
      </c>
      <c r="J27" s="244" t="n">
        <v>0.91</v>
      </c>
      <c r="K27" s="237" t="n">
        <f aca="false">I27*J27</f>
        <v>688.87</v>
      </c>
      <c r="AMF27" s="0"/>
      <c r="AMG27" s="0"/>
      <c r="AMH27" s="0"/>
      <c r="AMI27" s="0"/>
      <c r="AMJ27" s="0"/>
    </row>
    <row r="28" s="1" customFormat="true" ht="34.15" hidden="false" customHeight="true" outlineLevel="0" collapsed="false">
      <c r="A28" s="231"/>
      <c r="B28" s="232" t="n">
        <v>20</v>
      </c>
      <c r="C28" s="233" t="s">
        <v>362</v>
      </c>
      <c r="D28" s="232" t="s">
        <v>363</v>
      </c>
      <c r="E28" s="234" t="n">
        <v>54</v>
      </c>
      <c r="F28" s="235" t="n">
        <v>23</v>
      </c>
      <c r="G28" s="235" t="n">
        <v>7</v>
      </c>
      <c r="H28" s="235" t="n">
        <v>30</v>
      </c>
      <c r="I28" s="243" t="n">
        <f aca="false">SUM(E28:H28)</f>
        <v>114</v>
      </c>
      <c r="J28" s="244" t="n">
        <v>20.51</v>
      </c>
      <c r="K28" s="237" t="n">
        <f aca="false">I28*J28</f>
        <v>2338.14</v>
      </c>
      <c r="AMF28" s="0"/>
      <c r="AMG28" s="0"/>
      <c r="AMH28" s="0"/>
      <c r="AMI28" s="0"/>
      <c r="AMJ28" s="0"/>
    </row>
    <row r="29" s="1" customFormat="true" ht="19.35" hidden="false" customHeight="true" outlineLevel="0" collapsed="false">
      <c r="A29" s="231"/>
      <c r="B29" s="232" t="n">
        <v>21</v>
      </c>
      <c r="C29" s="233" t="s">
        <v>364</v>
      </c>
      <c r="D29" s="232" t="s">
        <v>318</v>
      </c>
      <c r="E29" s="234" t="n">
        <v>10</v>
      </c>
      <c r="F29" s="235" t="n">
        <v>2</v>
      </c>
      <c r="G29" s="235" t="n">
        <v>0</v>
      </c>
      <c r="H29" s="235" t="n">
        <v>0</v>
      </c>
      <c r="I29" s="243" t="n">
        <f aca="false">SUM(E29:H29)</f>
        <v>12</v>
      </c>
      <c r="J29" s="244" t="n">
        <v>9.92</v>
      </c>
      <c r="K29" s="237" t="n">
        <f aca="false">I29*J29</f>
        <v>119.04</v>
      </c>
      <c r="AMF29" s="0"/>
      <c r="AMG29" s="0"/>
      <c r="AMH29" s="0"/>
      <c r="AMI29" s="0"/>
      <c r="AMJ29" s="0"/>
    </row>
    <row r="30" s="1" customFormat="true" ht="35.1" hidden="false" customHeight="false" outlineLevel="0" collapsed="false">
      <c r="A30" s="231"/>
      <c r="B30" s="232" t="n">
        <v>22</v>
      </c>
      <c r="C30" s="233" t="s">
        <v>365</v>
      </c>
      <c r="D30" s="232" t="s">
        <v>366</v>
      </c>
      <c r="E30" s="234" t="n">
        <v>2</v>
      </c>
      <c r="F30" s="235" t="n">
        <v>1</v>
      </c>
      <c r="G30" s="235" t="n">
        <v>1</v>
      </c>
      <c r="H30" s="235" t="n">
        <v>1</v>
      </c>
      <c r="I30" s="243" t="n">
        <f aca="false">SUM(E30:H30)</f>
        <v>5</v>
      </c>
      <c r="J30" s="244" t="n">
        <v>30.42</v>
      </c>
      <c r="K30" s="237" t="n">
        <f aca="false">I30*J30</f>
        <v>152.1</v>
      </c>
      <c r="AMF30" s="0"/>
      <c r="AMG30" s="0"/>
      <c r="AMH30" s="0"/>
      <c r="AMI30" s="0"/>
      <c r="AMJ30" s="0"/>
    </row>
    <row r="31" s="1" customFormat="true" ht="19.35" hidden="false" customHeight="true" outlineLevel="0" collapsed="false">
      <c r="A31" s="231"/>
      <c r="B31" s="232" t="n">
        <v>23</v>
      </c>
      <c r="C31" s="233" t="s">
        <v>367</v>
      </c>
      <c r="D31" s="232" t="s">
        <v>318</v>
      </c>
      <c r="E31" s="234" t="n">
        <v>15</v>
      </c>
      <c r="F31" s="235" t="n">
        <v>4</v>
      </c>
      <c r="G31" s="235" t="n">
        <v>2</v>
      </c>
      <c r="H31" s="235" t="n">
        <v>4</v>
      </c>
      <c r="I31" s="243" t="n">
        <f aca="false">SUM(E31:H31)</f>
        <v>25</v>
      </c>
      <c r="J31" s="244" t="n">
        <v>5.27</v>
      </c>
      <c r="K31" s="237" t="n">
        <f aca="false">I31*J31</f>
        <v>131.75</v>
      </c>
      <c r="AMF31" s="0"/>
      <c r="AMG31" s="0"/>
      <c r="AMH31" s="0"/>
      <c r="AMI31" s="0"/>
      <c r="AMJ31" s="0"/>
    </row>
    <row r="32" s="1" customFormat="true" ht="19.35" hidden="false" customHeight="true" outlineLevel="0" collapsed="false">
      <c r="A32" s="231"/>
      <c r="B32" s="232" t="n">
        <v>24</v>
      </c>
      <c r="C32" s="233" t="s">
        <v>368</v>
      </c>
      <c r="D32" s="232" t="s">
        <v>337</v>
      </c>
      <c r="E32" s="234" t="n">
        <v>1</v>
      </c>
      <c r="F32" s="235" t="n">
        <v>0</v>
      </c>
      <c r="G32" s="235" t="n">
        <v>0</v>
      </c>
      <c r="H32" s="235" t="n">
        <v>1</v>
      </c>
      <c r="I32" s="243" t="n">
        <f aca="false">SUM(E32:H32)</f>
        <v>2</v>
      </c>
      <c r="J32" s="244" t="n">
        <v>57.75</v>
      </c>
      <c r="K32" s="237" t="n">
        <f aca="false">I32*J32</f>
        <v>115.5</v>
      </c>
      <c r="AMF32" s="0"/>
      <c r="AMG32" s="0"/>
      <c r="AMH32" s="0"/>
      <c r="AMI32" s="0"/>
      <c r="AMJ32" s="0"/>
    </row>
    <row r="33" s="1" customFormat="true" ht="19.35" hidden="false" customHeight="true" outlineLevel="0" collapsed="false">
      <c r="A33" s="231"/>
      <c r="B33" s="232" t="n">
        <v>25</v>
      </c>
      <c r="C33" s="233" t="s">
        <v>369</v>
      </c>
      <c r="D33" s="232" t="s">
        <v>318</v>
      </c>
      <c r="E33" s="234" t="n">
        <v>10</v>
      </c>
      <c r="F33" s="235" t="n">
        <v>5</v>
      </c>
      <c r="G33" s="235" t="n">
        <v>2</v>
      </c>
      <c r="H33" s="235" t="n">
        <v>1</v>
      </c>
      <c r="I33" s="243" t="n">
        <f aca="false">SUM(E33:H33)</f>
        <v>18</v>
      </c>
      <c r="J33" s="244" t="n">
        <v>2.75</v>
      </c>
      <c r="K33" s="237" t="n">
        <f aca="false">I33*J33</f>
        <v>49.5</v>
      </c>
      <c r="AMF33" s="0"/>
      <c r="AMG33" s="0"/>
      <c r="AMH33" s="0"/>
      <c r="AMI33" s="0"/>
      <c r="AMJ33" s="0"/>
    </row>
    <row r="34" s="1" customFormat="true" ht="19.35" hidden="false" customHeight="true" outlineLevel="0" collapsed="false">
      <c r="A34" s="231"/>
      <c r="B34" s="232" t="n">
        <v>26</v>
      </c>
      <c r="C34" s="233" t="s">
        <v>370</v>
      </c>
      <c r="D34" s="232" t="s">
        <v>371</v>
      </c>
      <c r="E34" s="234" t="n">
        <v>2</v>
      </c>
      <c r="F34" s="235" t="n">
        <v>2</v>
      </c>
      <c r="G34" s="235" t="n">
        <v>2</v>
      </c>
      <c r="H34" s="235" t="n">
        <v>1</v>
      </c>
      <c r="I34" s="243" t="n">
        <f aca="false">SUM(E34:H34)</f>
        <v>7</v>
      </c>
      <c r="J34" s="244" t="n">
        <v>10.57</v>
      </c>
      <c r="K34" s="237" t="n">
        <f aca="false">I34*J34</f>
        <v>73.99</v>
      </c>
      <c r="AMF34" s="0"/>
      <c r="AMG34" s="0"/>
      <c r="AMH34" s="0"/>
      <c r="AMI34" s="0"/>
      <c r="AMJ34" s="0"/>
    </row>
    <row r="35" s="1" customFormat="true" ht="32.8" hidden="false" customHeight="false" outlineLevel="0" collapsed="false">
      <c r="A35" s="231"/>
      <c r="B35" s="232" t="n">
        <v>27</v>
      </c>
      <c r="C35" s="233" t="s">
        <v>372</v>
      </c>
      <c r="D35" s="232" t="s">
        <v>337</v>
      </c>
      <c r="E35" s="234" t="n">
        <v>2</v>
      </c>
      <c r="F35" s="235" t="n">
        <v>1.5</v>
      </c>
      <c r="G35" s="235" t="n">
        <v>1</v>
      </c>
      <c r="H35" s="235" t="n">
        <v>4</v>
      </c>
      <c r="I35" s="243" t="n">
        <f aca="false">SUM(E35:H35)</f>
        <v>8.5</v>
      </c>
      <c r="J35" s="244" t="n">
        <v>36.15</v>
      </c>
      <c r="K35" s="237" t="n">
        <f aca="false">I35*J35</f>
        <v>307.275</v>
      </c>
      <c r="AMF35" s="0"/>
      <c r="AMG35" s="0"/>
      <c r="AMH35" s="0"/>
      <c r="AMI35" s="0"/>
      <c r="AMJ35" s="0"/>
    </row>
    <row r="36" s="1" customFormat="true" ht="17.15" hidden="false" customHeight="false" outlineLevel="0" collapsed="false">
      <c r="A36" s="231"/>
      <c r="B36" s="232" t="n">
        <v>28</v>
      </c>
      <c r="C36" s="233" t="s">
        <v>373</v>
      </c>
      <c r="D36" s="232" t="s">
        <v>374</v>
      </c>
      <c r="E36" s="234" t="n">
        <v>1</v>
      </c>
      <c r="F36" s="235" t="n">
        <v>0</v>
      </c>
      <c r="G36" s="235" t="n">
        <v>0</v>
      </c>
      <c r="H36" s="235" t="n">
        <v>1</v>
      </c>
      <c r="I36" s="243" t="n">
        <f aca="false">SUM(E36:H36)</f>
        <v>2</v>
      </c>
      <c r="J36" s="244" t="n">
        <v>102.9</v>
      </c>
      <c r="K36" s="237" t="n">
        <f aca="false">I36*J36</f>
        <v>205.8</v>
      </c>
      <c r="AMF36" s="0"/>
      <c r="AMG36" s="0"/>
      <c r="AMH36" s="0"/>
      <c r="AMI36" s="0"/>
      <c r="AMJ36" s="0"/>
    </row>
    <row r="37" s="1" customFormat="true" ht="17.15" hidden="false" customHeight="false" outlineLevel="0" collapsed="false">
      <c r="A37" s="231"/>
      <c r="B37" s="232" t="n">
        <v>29</v>
      </c>
      <c r="C37" s="233" t="s">
        <v>375</v>
      </c>
      <c r="D37" s="232" t="s">
        <v>374</v>
      </c>
      <c r="E37" s="234" t="n">
        <v>1</v>
      </c>
      <c r="F37" s="235" t="n">
        <v>0</v>
      </c>
      <c r="G37" s="235" t="n">
        <v>0</v>
      </c>
      <c r="H37" s="235" t="n">
        <v>0</v>
      </c>
      <c r="I37" s="243" t="n">
        <f aca="false">SUM(E37:H37)</f>
        <v>1</v>
      </c>
      <c r="J37" s="244" t="n">
        <v>85</v>
      </c>
      <c r="K37" s="237" t="n">
        <f aca="false">I37*J37</f>
        <v>85</v>
      </c>
      <c r="AMF37" s="0"/>
      <c r="AMG37" s="0"/>
      <c r="AMH37" s="0"/>
      <c r="AMI37" s="0"/>
      <c r="AMJ37" s="0"/>
    </row>
    <row r="38" s="1" customFormat="true" ht="30.75" hidden="false" customHeight="true" outlineLevel="0" collapsed="false">
      <c r="A38" s="231"/>
      <c r="B38" s="232" t="n">
        <v>30</v>
      </c>
      <c r="C38" s="233" t="s">
        <v>376</v>
      </c>
      <c r="D38" s="232" t="s">
        <v>374</v>
      </c>
      <c r="E38" s="234" t="n">
        <v>3</v>
      </c>
      <c r="F38" s="235" t="n">
        <v>1</v>
      </c>
      <c r="G38" s="235" t="n">
        <v>1</v>
      </c>
      <c r="H38" s="235" t="n">
        <v>1</v>
      </c>
      <c r="I38" s="243" t="n">
        <f aca="false">SUM(E38:H38)</f>
        <v>6</v>
      </c>
      <c r="J38" s="244" t="n">
        <v>39.36</v>
      </c>
      <c r="K38" s="237" t="n">
        <f aca="false">I38*J38</f>
        <v>236.16</v>
      </c>
      <c r="AMF38" s="0"/>
      <c r="AMG38" s="0"/>
      <c r="AMH38" s="0"/>
      <c r="AMI38" s="0"/>
      <c r="AMJ38" s="0"/>
    </row>
    <row r="39" s="1" customFormat="true" ht="30.75" hidden="false" customHeight="true" outlineLevel="0" collapsed="false">
      <c r="A39" s="231"/>
      <c r="B39" s="232" t="n">
        <v>31</v>
      </c>
      <c r="C39" s="233" t="s">
        <v>377</v>
      </c>
      <c r="D39" s="232" t="s">
        <v>374</v>
      </c>
      <c r="E39" s="234" t="n">
        <v>6</v>
      </c>
      <c r="F39" s="235" t="n">
        <v>1</v>
      </c>
      <c r="G39" s="235" t="n">
        <v>0</v>
      </c>
      <c r="H39" s="235" t="n">
        <v>1</v>
      </c>
      <c r="I39" s="243" t="n">
        <f aca="false">SUM(E39:H39)</f>
        <v>8</v>
      </c>
      <c r="J39" s="244" t="n">
        <v>17.94</v>
      </c>
      <c r="K39" s="237" t="n">
        <f aca="false">I39*J39</f>
        <v>143.52</v>
      </c>
      <c r="AMF39" s="0"/>
      <c r="AMG39" s="0"/>
      <c r="AMH39" s="0"/>
      <c r="AMI39" s="0"/>
      <c r="AMJ39" s="0"/>
    </row>
    <row r="40" s="1" customFormat="true" ht="32.25" hidden="false" customHeight="true" outlineLevel="0" collapsed="false">
      <c r="A40" s="231"/>
      <c r="B40" s="232" t="n">
        <v>32</v>
      </c>
      <c r="C40" s="233" t="s">
        <v>378</v>
      </c>
      <c r="D40" s="232" t="s">
        <v>374</v>
      </c>
      <c r="E40" s="234" t="n">
        <v>4</v>
      </c>
      <c r="F40" s="235" t="n">
        <v>2</v>
      </c>
      <c r="G40" s="235" t="n">
        <v>1</v>
      </c>
      <c r="H40" s="235" t="n">
        <v>1</v>
      </c>
      <c r="I40" s="243" t="n">
        <f aca="false">SUM(E40:H40)</f>
        <v>8</v>
      </c>
      <c r="J40" s="244" t="n">
        <v>24.34</v>
      </c>
      <c r="K40" s="237" t="n">
        <f aca="false">I40*J40</f>
        <v>194.72</v>
      </c>
      <c r="AMF40" s="0"/>
      <c r="AMG40" s="0"/>
      <c r="AMH40" s="0"/>
      <c r="AMI40" s="0"/>
      <c r="AMJ40" s="0"/>
    </row>
    <row r="41" s="1" customFormat="true" ht="37.5" hidden="false" customHeight="true" outlineLevel="0" collapsed="false">
      <c r="A41" s="231"/>
      <c r="B41" s="232" t="n">
        <v>33</v>
      </c>
      <c r="C41" s="233" t="s">
        <v>379</v>
      </c>
      <c r="D41" s="232" t="s">
        <v>374</v>
      </c>
      <c r="E41" s="234" t="n">
        <v>3</v>
      </c>
      <c r="F41" s="235" t="n">
        <v>0</v>
      </c>
      <c r="G41" s="235" t="n">
        <v>1</v>
      </c>
      <c r="H41" s="235" t="n">
        <v>1</v>
      </c>
      <c r="I41" s="243" t="n">
        <f aca="false">SUM(E41:H41)</f>
        <v>5</v>
      </c>
      <c r="J41" s="244" t="n">
        <v>34.63</v>
      </c>
      <c r="K41" s="237" t="n">
        <f aca="false">I41*J41</f>
        <v>173.15</v>
      </c>
      <c r="AMF41" s="0"/>
      <c r="AMG41" s="0"/>
      <c r="AMH41" s="0"/>
      <c r="AMI41" s="0"/>
      <c r="AMJ41" s="0"/>
    </row>
    <row r="42" s="1" customFormat="true" ht="96.15" hidden="false" customHeight="true" outlineLevel="0" collapsed="false">
      <c r="B42" s="238" t="s">
        <v>380</v>
      </c>
      <c r="C42" s="238"/>
      <c r="D42" s="238"/>
      <c r="E42" s="238"/>
      <c r="F42" s="238"/>
      <c r="G42" s="238"/>
      <c r="H42" s="238"/>
      <c r="I42" s="238"/>
      <c r="J42" s="238"/>
      <c r="K42" s="237" t="n">
        <f aca="false">SUM(K9:K41)</f>
        <v>8477.45</v>
      </c>
      <c r="AMF42" s="0"/>
      <c r="AMG42" s="0"/>
      <c r="AMH42" s="0"/>
      <c r="AMI42" s="0"/>
      <c r="AMJ42" s="0"/>
    </row>
    <row r="43" s="1" customFormat="true" ht="19.35" hidden="false" customHeight="true" outlineLevel="0" collapsed="false">
      <c r="B43" s="238" t="s">
        <v>381</v>
      </c>
      <c r="C43" s="238"/>
      <c r="D43" s="238"/>
      <c r="E43" s="238"/>
      <c r="F43" s="238"/>
      <c r="G43" s="238"/>
      <c r="H43" s="238"/>
      <c r="I43" s="238"/>
      <c r="J43" s="238"/>
      <c r="K43" s="243" t="n">
        <f aca="false">'QTDE-ESTIMADA-SERVENTES'!C87</f>
        <v>10</v>
      </c>
      <c r="AMF43" s="0"/>
      <c r="AMG43" s="0"/>
      <c r="AMH43" s="0"/>
      <c r="AMI43" s="0"/>
      <c r="AMJ43" s="0"/>
    </row>
    <row r="44" s="1" customFormat="true" ht="19.35" hidden="false" customHeight="true" outlineLevel="0" collapsed="false">
      <c r="B44" s="238" t="s">
        <v>382</v>
      </c>
      <c r="C44" s="238"/>
      <c r="D44" s="238"/>
      <c r="E44" s="238"/>
      <c r="F44" s="238"/>
      <c r="G44" s="238"/>
      <c r="H44" s="238"/>
      <c r="I44" s="238"/>
      <c r="J44" s="238"/>
      <c r="K44" s="237" t="n">
        <f aca="false">K42/K43</f>
        <v>847.745</v>
      </c>
      <c r="AMF44" s="0"/>
      <c r="AMG44" s="0"/>
      <c r="AMH44" s="0"/>
      <c r="AMI44" s="0"/>
      <c r="AMJ44" s="0"/>
    </row>
    <row r="45" s="1" customFormat="true" ht="16.5" hidden="false" customHeight="true" outlineLevel="0" collapsed="false">
      <c r="B45" s="239"/>
      <c r="C45" s="239"/>
      <c r="D45" s="239"/>
      <c r="E45" s="239"/>
      <c r="F45" s="239"/>
      <c r="G45" s="239"/>
      <c r="H45" s="239"/>
      <c r="I45" s="239"/>
      <c r="J45" s="240"/>
      <c r="K45" s="245"/>
      <c r="AMF45" s="0"/>
      <c r="AMG45" s="0"/>
      <c r="AMH45" s="0"/>
      <c r="AMI45" s="0"/>
      <c r="AMJ45" s="0"/>
    </row>
    <row r="46" s="1" customFormat="true" ht="16.5" hidden="false" customHeight="true" outlineLevel="0" collapsed="false">
      <c r="B46" s="239"/>
      <c r="C46" s="239"/>
      <c r="D46" s="239"/>
      <c r="E46" s="239"/>
      <c r="F46" s="239"/>
      <c r="G46" s="239"/>
      <c r="H46" s="239"/>
      <c r="I46" s="239"/>
      <c r="J46" s="240"/>
      <c r="K46" s="245"/>
      <c r="AMF46" s="0"/>
      <c r="AMG46" s="0"/>
      <c r="AMH46" s="0"/>
      <c r="AMI46" s="0"/>
      <c r="AMJ46" s="0"/>
    </row>
    <row r="47" s="1" customFormat="true" ht="16.5" hidden="false" customHeight="true" outlineLevel="0" collapsed="false">
      <c r="B47" s="230" t="s">
        <v>383</v>
      </c>
      <c r="C47" s="230"/>
      <c r="D47" s="230"/>
      <c r="E47" s="230"/>
      <c r="F47" s="230"/>
      <c r="G47" s="230"/>
      <c r="H47" s="230"/>
      <c r="I47" s="230"/>
      <c r="J47" s="230"/>
      <c r="K47" s="230"/>
      <c r="AMF47" s="0"/>
      <c r="AMG47" s="0"/>
      <c r="AMH47" s="0"/>
      <c r="AMI47" s="0"/>
      <c r="AMJ47" s="0"/>
    </row>
    <row r="48" s="1" customFormat="true" ht="31.5" hidden="false" customHeight="true" outlineLevel="0" collapsed="false">
      <c r="B48" s="230" t="s">
        <v>308</v>
      </c>
      <c r="C48" s="230" t="s">
        <v>127</v>
      </c>
      <c r="D48" s="230" t="s">
        <v>310</v>
      </c>
      <c r="E48" s="230" t="s">
        <v>384</v>
      </c>
      <c r="F48" s="230"/>
      <c r="G48" s="230"/>
      <c r="H48" s="230"/>
      <c r="I48" s="230" t="s">
        <v>385</v>
      </c>
      <c r="J48" s="230" t="s">
        <v>332</v>
      </c>
      <c r="K48" s="230" t="s">
        <v>386</v>
      </c>
      <c r="AMF48" s="0"/>
      <c r="AMG48" s="0"/>
      <c r="AMH48" s="0"/>
      <c r="AMI48" s="0"/>
      <c r="AMJ48" s="0"/>
    </row>
    <row r="49" s="1" customFormat="true" ht="35.1" hidden="false" customHeight="false" outlineLevel="0" collapsed="false">
      <c r="B49" s="230"/>
      <c r="C49" s="230"/>
      <c r="D49" s="230"/>
      <c r="E49" s="230" t="s">
        <v>334</v>
      </c>
      <c r="F49" s="230" t="s">
        <v>108</v>
      </c>
      <c r="G49" s="230" t="s">
        <v>109</v>
      </c>
      <c r="H49" s="230" t="s">
        <v>110</v>
      </c>
      <c r="I49" s="230"/>
      <c r="J49" s="230"/>
      <c r="K49" s="230"/>
      <c r="AMF49" s="0"/>
      <c r="AMG49" s="0"/>
      <c r="AMH49" s="0"/>
      <c r="AMI49" s="0"/>
      <c r="AMJ49" s="0"/>
    </row>
    <row r="50" s="1" customFormat="true" ht="30.6" hidden="false" customHeight="true" outlineLevel="0" collapsed="false">
      <c r="B50" s="230"/>
      <c r="C50" s="230"/>
      <c r="D50" s="230"/>
      <c r="E50" s="230" t="s">
        <v>134</v>
      </c>
      <c r="F50" s="230" t="s">
        <v>135</v>
      </c>
      <c r="G50" s="230" t="s">
        <v>136</v>
      </c>
      <c r="H50" s="230" t="s">
        <v>137</v>
      </c>
      <c r="I50" s="230" t="s">
        <v>316</v>
      </c>
      <c r="J50" s="230" t="s">
        <v>335</v>
      </c>
      <c r="K50" s="230" t="s">
        <v>138</v>
      </c>
      <c r="AMF50" s="0"/>
      <c r="AMG50" s="0"/>
      <c r="AMH50" s="0"/>
      <c r="AMI50" s="0"/>
      <c r="AMJ50" s="0"/>
    </row>
    <row r="51" s="1" customFormat="true" ht="35.1" hidden="false" customHeight="false" outlineLevel="0" collapsed="false">
      <c r="B51" s="232" t="n">
        <v>1</v>
      </c>
      <c r="C51" s="233" t="s">
        <v>387</v>
      </c>
      <c r="D51" s="232" t="s">
        <v>318</v>
      </c>
      <c r="E51" s="234" t="n">
        <v>36</v>
      </c>
      <c r="F51" s="235" t="n">
        <v>8</v>
      </c>
      <c r="G51" s="235" t="n">
        <v>4</v>
      </c>
      <c r="H51" s="235" t="n">
        <v>3</v>
      </c>
      <c r="I51" s="243" t="n">
        <f aca="false">SUM(E51:H51)</f>
        <v>51</v>
      </c>
      <c r="J51" s="244" t="n">
        <v>16.46</v>
      </c>
      <c r="K51" s="237" t="n">
        <f aca="false">I51*J51</f>
        <v>839.46</v>
      </c>
      <c r="AMF51" s="0"/>
      <c r="AMG51" s="0"/>
      <c r="AMH51" s="0"/>
      <c r="AMI51" s="0"/>
      <c r="AMJ51" s="0"/>
    </row>
    <row r="52" s="1" customFormat="true" ht="16.5" hidden="false" customHeight="true" outlineLevel="0" collapsed="false">
      <c r="B52" s="232" t="n">
        <v>2</v>
      </c>
      <c r="C52" s="233" t="s">
        <v>388</v>
      </c>
      <c r="D52" s="232" t="s">
        <v>318</v>
      </c>
      <c r="E52" s="234" t="n">
        <v>12</v>
      </c>
      <c r="F52" s="235" t="n">
        <v>2</v>
      </c>
      <c r="G52" s="235" t="n">
        <v>1</v>
      </c>
      <c r="H52" s="235" t="n">
        <v>1</v>
      </c>
      <c r="I52" s="243" t="n">
        <f aca="false">SUM(E52:H52)</f>
        <v>16</v>
      </c>
      <c r="J52" s="244" t="n">
        <v>5.87</v>
      </c>
      <c r="K52" s="237" t="n">
        <f aca="false">I52*J52</f>
        <v>93.92</v>
      </c>
      <c r="AMF52" s="0"/>
      <c r="AMG52" s="0"/>
      <c r="AMH52" s="0"/>
      <c r="AMI52" s="0"/>
      <c r="AMJ52" s="0"/>
    </row>
    <row r="53" s="1" customFormat="true" ht="18.4" hidden="false" customHeight="false" outlineLevel="0" collapsed="false">
      <c r="B53" s="232" t="n">
        <v>3</v>
      </c>
      <c r="C53" s="233" t="s">
        <v>389</v>
      </c>
      <c r="D53" s="232" t="s">
        <v>318</v>
      </c>
      <c r="E53" s="234" t="n">
        <v>12</v>
      </c>
      <c r="F53" s="235" t="n">
        <v>2</v>
      </c>
      <c r="G53" s="235" t="n">
        <v>1</v>
      </c>
      <c r="H53" s="235" t="n">
        <v>1</v>
      </c>
      <c r="I53" s="243" t="n">
        <f aca="false">SUM(E53:H53)</f>
        <v>16</v>
      </c>
      <c r="J53" s="244" t="n">
        <v>9.38</v>
      </c>
      <c r="K53" s="237" t="n">
        <f aca="false">I53*J53</f>
        <v>150.08</v>
      </c>
      <c r="AMF53" s="0"/>
      <c r="AMG53" s="0"/>
      <c r="AMH53" s="0"/>
      <c r="AMI53" s="0"/>
      <c r="AMJ53" s="0"/>
    </row>
    <row r="54" s="1" customFormat="true" ht="35.1" hidden="false" customHeight="false" outlineLevel="0" collapsed="false">
      <c r="B54" s="232" t="n">
        <v>4</v>
      </c>
      <c r="C54" s="233" t="s">
        <v>390</v>
      </c>
      <c r="D54" s="232" t="s">
        <v>318</v>
      </c>
      <c r="E54" s="234" t="n">
        <v>6</v>
      </c>
      <c r="F54" s="235" t="n">
        <v>6</v>
      </c>
      <c r="G54" s="235" t="n">
        <v>0</v>
      </c>
      <c r="H54" s="235" t="n">
        <v>0</v>
      </c>
      <c r="I54" s="243" t="n">
        <f aca="false">SUM(E54:H54)</f>
        <v>12</v>
      </c>
      <c r="J54" s="244" t="n">
        <v>29.54</v>
      </c>
      <c r="K54" s="237" t="n">
        <f aca="false">I54*J54</f>
        <v>354.48</v>
      </c>
      <c r="AMF54" s="0"/>
      <c r="AMG54" s="0"/>
      <c r="AMH54" s="0"/>
      <c r="AMI54" s="0"/>
      <c r="AMJ54" s="0"/>
    </row>
    <row r="55" s="1" customFormat="true" ht="51.75" hidden="false" customHeight="false" outlineLevel="0" collapsed="false">
      <c r="B55" s="232" t="n">
        <v>5</v>
      </c>
      <c r="C55" s="233" t="s">
        <v>391</v>
      </c>
      <c r="D55" s="232" t="s">
        <v>318</v>
      </c>
      <c r="E55" s="234" t="n">
        <v>12</v>
      </c>
      <c r="F55" s="235" t="n">
        <v>12</v>
      </c>
      <c r="G55" s="235" t="n">
        <v>0</v>
      </c>
      <c r="H55" s="235" t="n">
        <v>0</v>
      </c>
      <c r="I55" s="243" t="n">
        <f aca="false">SUM(E55:H55)</f>
        <v>24</v>
      </c>
      <c r="J55" s="244" t="n">
        <v>30.14</v>
      </c>
      <c r="K55" s="237" t="n">
        <f aca="false">I55*J55</f>
        <v>723.36</v>
      </c>
      <c r="AMF55" s="0"/>
      <c r="AMG55" s="0"/>
      <c r="AMH55" s="0"/>
      <c r="AMI55" s="0"/>
      <c r="AMJ55" s="0"/>
    </row>
    <row r="56" s="1" customFormat="true" ht="35.1" hidden="false" customHeight="false" outlineLevel="0" collapsed="false">
      <c r="B56" s="232" t="n">
        <v>6</v>
      </c>
      <c r="C56" s="233" t="s">
        <v>392</v>
      </c>
      <c r="D56" s="232" t="s">
        <v>318</v>
      </c>
      <c r="E56" s="234" t="n">
        <v>6</v>
      </c>
      <c r="F56" s="235" t="n">
        <v>4</v>
      </c>
      <c r="G56" s="235" t="n">
        <v>0</v>
      </c>
      <c r="H56" s="235" t="n">
        <v>0</v>
      </c>
      <c r="I56" s="243" t="n">
        <f aca="false">SUM(E56:H56)</f>
        <v>10</v>
      </c>
      <c r="J56" s="244" t="n">
        <v>70.5</v>
      </c>
      <c r="K56" s="237" t="n">
        <f aca="false">I56*J56</f>
        <v>705</v>
      </c>
      <c r="AMF56" s="0"/>
      <c r="AMG56" s="0"/>
      <c r="AMH56" s="0"/>
      <c r="AMI56" s="0"/>
      <c r="AMJ56" s="0"/>
    </row>
    <row r="57" s="1" customFormat="true" ht="16.5" hidden="false" customHeight="true" outlineLevel="0" collapsed="false">
      <c r="B57" s="232" t="n">
        <v>7</v>
      </c>
      <c r="C57" s="233" t="s">
        <v>393</v>
      </c>
      <c r="D57" s="232" t="s">
        <v>318</v>
      </c>
      <c r="E57" s="234" t="n">
        <v>36</v>
      </c>
      <c r="F57" s="235" t="n">
        <v>6</v>
      </c>
      <c r="G57" s="235" t="n">
        <v>6</v>
      </c>
      <c r="H57" s="235" t="n">
        <v>6</v>
      </c>
      <c r="I57" s="243" t="n">
        <f aca="false">SUM(E57:H57)</f>
        <v>54</v>
      </c>
      <c r="J57" s="244" t="n">
        <v>9.58</v>
      </c>
      <c r="K57" s="237" t="n">
        <f aca="false">I57*J57</f>
        <v>517.32</v>
      </c>
      <c r="AMF57" s="0"/>
      <c r="AMG57" s="0"/>
      <c r="AMH57" s="0"/>
      <c r="AMI57" s="0"/>
      <c r="AMJ57" s="0"/>
    </row>
    <row r="58" s="1" customFormat="true" ht="16.5" hidden="false" customHeight="true" outlineLevel="0" collapsed="false">
      <c r="B58" s="232" t="n">
        <v>8</v>
      </c>
      <c r="C58" s="233" t="s">
        <v>394</v>
      </c>
      <c r="D58" s="232" t="s">
        <v>318</v>
      </c>
      <c r="E58" s="234" t="n">
        <v>6</v>
      </c>
      <c r="F58" s="235" t="n">
        <v>2</v>
      </c>
      <c r="G58" s="235" t="n">
        <v>2</v>
      </c>
      <c r="H58" s="235" t="n">
        <v>2</v>
      </c>
      <c r="I58" s="243" t="n">
        <f aca="false">SUM(E58:H58)</f>
        <v>12</v>
      </c>
      <c r="J58" s="244" t="n">
        <v>18.57</v>
      </c>
      <c r="K58" s="237" t="n">
        <f aca="false">I58*J58</f>
        <v>222.84</v>
      </c>
      <c r="AMF58" s="0"/>
      <c r="AMG58" s="0"/>
      <c r="AMH58" s="0"/>
      <c r="AMI58" s="0"/>
      <c r="AMJ58" s="0"/>
    </row>
    <row r="59" s="1" customFormat="true" ht="16.5" hidden="false" customHeight="true" outlineLevel="0" collapsed="false">
      <c r="B59" s="232" t="n">
        <v>9</v>
      </c>
      <c r="C59" s="233" t="s">
        <v>395</v>
      </c>
      <c r="D59" s="232" t="s">
        <v>396</v>
      </c>
      <c r="E59" s="234" t="n">
        <v>300</v>
      </c>
      <c r="F59" s="235" t="n">
        <v>72</v>
      </c>
      <c r="G59" s="235" t="n">
        <v>24</v>
      </c>
      <c r="H59" s="235" t="n">
        <v>24</v>
      </c>
      <c r="I59" s="243" t="n">
        <f aca="false">SUM(E59:H59)</f>
        <v>420</v>
      </c>
      <c r="J59" s="244" t="n">
        <v>9.76</v>
      </c>
      <c r="K59" s="237" t="n">
        <f aca="false">I59*J59</f>
        <v>4099.2</v>
      </c>
      <c r="AMF59" s="0"/>
      <c r="AMG59" s="0"/>
      <c r="AMH59" s="0"/>
      <c r="AMI59" s="0"/>
      <c r="AMJ59" s="0"/>
    </row>
    <row r="60" s="1" customFormat="true" ht="35.1" hidden="false" customHeight="false" outlineLevel="0" collapsed="false">
      <c r="B60" s="232" t="n">
        <v>10</v>
      </c>
      <c r="C60" s="233" t="s">
        <v>397</v>
      </c>
      <c r="D60" s="232" t="s">
        <v>318</v>
      </c>
      <c r="E60" s="234" t="n">
        <v>3</v>
      </c>
      <c r="F60" s="235" t="n">
        <v>2</v>
      </c>
      <c r="G60" s="235" t="n">
        <v>2</v>
      </c>
      <c r="H60" s="235" t="n">
        <v>1</v>
      </c>
      <c r="I60" s="243" t="n">
        <f aca="false">SUM(E60:H60)</f>
        <v>8</v>
      </c>
      <c r="J60" s="244" t="n">
        <v>296.84</v>
      </c>
      <c r="K60" s="237" t="n">
        <f aca="false">I60*J60</f>
        <v>2374.72</v>
      </c>
      <c r="AMF60" s="0"/>
      <c r="AMG60" s="0"/>
      <c r="AMH60" s="0"/>
      <c r="AMI60" s="0"/>
      <c r="AMJ60" s="0"/>
    </row>
    <row r="61" s="1" customFormat="true" ht="16.5" hidden="false" customHeight="true" outlineLevel="0" collapsed="false">
      <c r="B61" s="232" t="n">
        <v>11</v>
      </c>
      <c r="C61" s="233" t="s">
        <v>398</v>
      </c>
      <c r="D61" s="232" t="s">
        <v>318</v>
      </c>
      <c r="E61" s="234" t="n">
        <v>12</v>
      </c>
      <c r="F61" s="235" t="n">
        <v>4</v>
      </c>
      <c r="G61" s="235" t="n">
        <v>2</v>
      </c>
      <c r="H61" s="235" t="n">
        <v>2</v>
      </c>
      <c r="I61" s="243" t="n">
        <f aca="false">SUM(E61:H61)</f>
        <v>20</v>
      </c>
      <c r="J61" s="244" t="n">
        <v>11.55</v>
      </c>
      <c r="K61" s="237" t="n">
        <f aca="false">I61*J61</f>
        <v>231</v>
      </c>
      <c r="AMF61" s="0"/>
      <c r="AMG61" s="0"/>
      <c r="AMH61" s="0"/>
      <c r="AMI61" s="0"/>
      <c r="AMJ61" s="0"/>
    </row>
    <row r="62" s="1" customFormat="true" ht="16.5" hidden="false" customHeight="true" outlineLevel="0" collapsed="false">
      <c r="B62" s="232" t="n">
        <v>12</v>
      </c>
      <c r="C62" s="233" t="s">
        <v>399</v>
      </c>
      <c r="D62" s="232" t="s">
        <v>318</v>
      </c>
      <c r="E62" s="234" t="n">
        <v>48</v>
      </c>
      <c r="F62" s="235" t="n">
        <v>8</v>
      </c>
      <c r="G62" s="235" t="n">
        <v>4</v>
      </c>
      <c r="H62" s="235" t="n">
        <v>3</v>
      </c>
      <c r="I62" s="243" t="n">
        <f aca="false">SUM(E62:H62)</f>
        <v>63</v>
      </c>
      <c r="J62" s="244" t="n">
        <v>16.14</v>
      </c>
      <c r="K62" s="237" t="n">
        <f aca="false">I62*J62</f>
        <v>1016.82</v>
      </c>
      <c r="AMF62" s="0"/>
      <c r="AMG62" s="0"/>
      <c r="AMH62" s="0"/>
      <c r="AMI62" s="0"/>
      <c r="AMJ62" s="0"/>
    </row>
    <row r="63" s="1" customFormat="true" ht="16.5" hidden="false" customHeight="true" outlineLevel="0" collapsed="false">
      <c r="B63" s="232" t="n">
        <v>13</v>
      </c>
      <c r="C63" s="233" t="s">
        <v>400</v>
      </c>
      <c r="D63" s="232" t="s">
        <v>318</v>
      </c>
      <c r="E63" s="234" t="n">
        <v>12</v>
      </c>
      <c r="F63" s="235" t="n">
        <v>8</v>
      </c>
      <c r="G63" s="235" t="n">
        <v>4</v>
      </c>
      <c r="H63" s="235" t="n">
        <v>6</v>
      </c>
      <c r="I63" s="243" t="n">
        <f aca="false">SUM(E63:H63)</f>
        <v>30</v>
      </c>
      <c r="J63" s="244" t="n">
        <v>13.56</v>
      </c>
      <c r="K63" s="237" t="n">
        <f aca="false">I63*J63</f>
        <v>406.8</v>
      </c>
      <c r="AMF63" s="0"/>
      <c r="AMG63" s="0"/>
      <c r="AMH63" s="0"/>
      <c r="AMI63" s="0"/>
      <c r="AMJ63" s="0"/>
    </row>
    <row r="64" s="1" customFormat="true" ht="16.5" hidden="false" customHeight="true" outlineLevel="0" collapsed="false">
      <c r="B64" s="232" t="n">
        <v>14</v>
      </c>
      <c r="C64" s="233" t="s">
        <v>401</v>
      </c>
      <c r="D64" s="232" t="s">
        <v>318</v>
      </c>
      <c r="E64" s="234" t="n">
        <v>12</v>
      </c>
      <c r="F64" s="235" t="n">
        <v>2</v>
      </c>
      <c r="G64" s="235" t="n">
        <v>2</v>
      </c>
      <c r="H64" s="235" t="n">
        <v>2</v>
      </c>
      <c r="I64" s="243" t="n">
        <f aca="false">SUM(E64:H64)</f>
        <v>18</v>
      </c>
      <c r="J64" s="244" t="n">
        <v>23.77</v>
      </c>
      <c r="K64" s="237" t="n">
        <f aca="false">I64*J64</f>
        <v>427.86</v>
      </c>
      <c r="AMF64" s="0"/>
      <c r="AMG64" s="0"/>
      <c r="AMH64" s="0"/>
      <c r="AMI64" s="0"/>
      <c r="AMJ64" s="0"/>
    </row>
    <row r="65" s="1" customFormat="true" ht="16.5" hidden="false" customHeight="true" outlineLevel="0" collapsed="false">
      <c r="B65" s="232" t="n">
        <v>15</v>
      </c>
      <c r="C65" s="233" t="s">
        <v>402</v>
      </c>
      <c r="D65" s="232" t="s">
        <v>318</v>
      </c>
      <c r="E65" s="234" t="n">
        <v>36</v>
      </c>
      <c r="F65" s="235" t="n">
        <v>12</v>
      </c>
      <c r="G65" s="235" t="n">
        <v>5</v>
      </c>
      <c r="H65" s="235" t="n">
        <v>6</v>
      </c>
      <c r="I65" s="243" t="n">
        <f aca="false">SUM(E65:H65)</f>
        <v>59</v>
      </c>
      <c r="J65" s="244" t="n">
        <v>11.73</v>
      </c>
      <c r="K65" s="237" t="n">
        <f aca="false">I65*J65</f>
        <v>692.07</v>
      </c>
      <c r="AMF65" s="0"/>
      <c r="AMG65" s="0"/>
      <c r="AMH65" s="0"/>
      <c r="AMI65" s="0"/>
      <c r="AMJ65" s="0"/>
    </row>
    <row r="66" s="1" customFormat="true" ht="16.5" hidden="false" customHeight="true" outlineLevel="0" collapsed="false">
      <c r="B66" s="232" t="n">
        <v>16</v>
      </c>
      <c r="C66" s="233" t="s">
        <v>403</v>
      </c>
      <c r="D66" s="232" t="s">
        <v>318</v>
      </c>
      <c r="E66" s="234" t="n">
        <v>36</v>
      </c>
      <c r="F66" s="235" t="n">
        <v>6</v>
      </c>
      <c r="G66" s="235" t="n">
        <v>2</v>
      </c>
      <c r="H66" s="235" t="n">
        <v>6</v>
      </c>
      <c r="I66" s="243" t="n">
        <f aca="false">SUM(E66:H66)</f>
        <v>50</v>
      </c>
      <c r="J66" s="244" t="n">
        <v>13.71</v>
      </c>
      <c r="K66" s="237" t="n">
        <f aca="false">I66*J66</f>
        <v>685.5</v>
      </c>
      <c r="AMF66" s="0"/>
      <c r="AMG66" s="0"/>
      <c r="AMH66" s="0"/>
      <c r="AMI66" s="0"/>
      <c r="AMJ66" s="0"/>
    </row>
    <row r="67" s="1" customFormat="true" ht="16.5" hidden="false" customHeight="true" outlineLevel="0" collapsed="false">
      <c r="B67" s="232" t="n">
        <v>17</v>
      </c>
      <c r="C67" s="233" t="s">
        <v>404</v>
      </c>
      <c r="D67" s="232" t="s">
        <v>318</v>
      </c>
      <c r="E67" s="234" t="n">
        <v>4</v>
      </c>
      <c r="F67" s="235" t="n">
        <v>2</v>
      </c>
      <c r="G67" s="235" t="n">
        <v>1</v>
      </c>
      <c r="H67" s="235" t="n">
        <v>1</v>
      </c>
      <c r="I67" s="243" t="n">
        <f aca="false">SUM(E67:H67)</f>
        <v>8</v>
      </c>
      <c r="J67" s="244" t="n">
        <v>20.42</v>
      </c>
      <c r="K67" s="237" t="n">
        <f aca="false">I67*J67</f>
        <v>163.36</v>
      </c>
      <c r="AMF67" s="0"/>
      <c r="AMG67" s="0"/>
      <c r="AMH67" s="0"/>
      <c r="AMI67" s="0"/>
      <c r="AMJ67" s="0"/>
    </row>
    <row r="68" s="1" customFormat="true" ht="16.5" hidden="false" customHeight="true" outlineLevel="0" collapsed="false">
      <c r="B68" s="232" t="n">
        <v>18</v>
      </c>
      <c r="C68" s="233" t="s">
        <v>405</v>
      </c>
      <c r="D68" s="232" t="s">
        <v>318</v>
      </c>
      <c r="E68" s="234" t="n">
        <v>1</v>
      </c>
      <c r="F68" s="235" t="n">
        <v>0</v>
      </c>
      <c r="G68" s="235" t="n">
        <v>1</v>
      </c>
      <c r="H68" s="235" t="n">
        <v>1</v>
      </c>
      <c r="I68" s="243" t="n">
        <f aca="false">SUM(E68:H68)</f>
        <v>3</v>
      </c>
      <c r="J68" s="244" t="n">
        <v>203.92</v>
      </c>
      <c r="K68" s="237" t="n">
        <f aca="false">I68*J68</f>
        <v>611.76</v>
      </c>
      <c r="AMF68" s="0"/>
      <c r="AMG68" s="0"/>
      <c r="AMH68" s="0"/>
      <c r="AMI68" s="0"/>
      <c r="AMJ68" s="0"/>
    </row>
    <row r="69" s="1" customFormat="true" ht="16.5" hidden="false" customHeight="true" outlineLevel="0" collapsed="false">
      <c r="B69" s="232" t="n">
        <v>19</v>
      </c>
      <c r="C69" s="233" t="s">
        <v>406</v>
      </c>
      <c r="D69" s="232" t="s">
        <v>318</v>
      </c>
      <c r="E69" s="234" t="n">
        <v>0</v>
      </c>
      <c r="F69" s="235" t="n">
        <v>1</v>
      </c>
      <c r="G69" s="235" t="n">
        <v>0</v>
      </c>
      <c r="H69" s="235" t="n">
        <v>0</v>
      </c>
      <c r="I69" s="243" t="n">
        <f aca="false">SUM(E69:H69)</f>
        <v>1</v>
      </c>
      <c r="J69" s="244" t="n">
        <v>332.59</v>
      </c>
      <c r="K69" s="237" t="n">
        <f aca="false">I69*J69</f>
        <v>332.59</v>
      </c>
      <c r="AMF69" s="0"/>
      <c r="AMG69" s="0"/>
      <c r="AMH69" s="0"/>
      <c r="AMI69" s="0"/>
      <c r="AMJ69" s="0"/>
    </row>
    <row r="70" s="1" customFormat="true" ht="16.5" hidden="false" customHeight="true" outlineLevel="0" collapsed="false">
      <c r="B70" s="232" t="n">
        <v>20</v>
      </c>
      <c r="C70" s="233" t="s">
        <v>407</v>
      </c>
      <c r="D70" s="232" t="s">
        <v>318</v>
      </c>
      <c r="E70" s="234" t="n">
        <v>1</v>
      </c>
      <c r="F70" s="235" t="n">
        <v>1</v>
      </c>
      <c r="G70" s="235" t="n">
        <v>1</v>
      </c>
      <c r="H70" s="235" t="n">
        <v>2</v>
      </c>
      <c r="I70" s="243" t="n">
        <f aca="false">SUM(E70:H70)</f>
        <v>5</v>
      </c>
      <c r="J70" s="244" t="n">
        <v>74.57</v>
      </c>
      <c r="K70" s="237" t="n">
        <f aca="false">I70*J70</f>
        <v>372.85</v>
      </c>
      <c r="AMF70" s="0"/>
      <c r="AMG70" s="0"/>
      <c r="AMH70" s="0"/>
      <c r="AMI70" s="0"/>
      <c r="AMJ70" s="0"/>
    </row>
    <row r="71" s="1" customFormat="true" ht="16.5" hidden="false" customHeight="true" outlineLevel="0" collapsed="false">
      <c r="B71" s="238" t="s">
        <v>408</v>
      </c>
      <c r="C71" s="238"/>
      <c r="D71" s="238"/>
      <c r="E71" s="238"/>
      <c r="F71" s="238"/>
      <c r="G71" s="238"/>
      <c r="H71" s="238"/>
      <c r="I71" s="238"/>
      <c r="J71" s="238"/>
      <c r="K71" s="237" t="n">
        <f aca="false">SUM(K51:K70)</f>
        <v>15020.99</v>
      </c>
      <c r="AMF71" s="0"/>
      <c r="AMG71" s="0"/>
      <c r="AMH71" s="0"/>
      <c r="AMI71" s="0"/>
      <c r="AMJ71" s="0"/>
    </row>
    <row r="72" s="1" customFormat="true" ht="96.15" hidden="false" customHeight="true" outlineLevel="0" collapsed="false">
      <c r="B72" s="238" t="s">
        <v>409</v>
      </c>
      <c r="C72" s="238"/>
      <c r="D72" s="238"/>
      <c r="E72" s="238"/>
      <c r="F72" s="238"/>
      <c r="G72" s="238"/>
      <c r="H72" s="238"/>
      <c r="I72" s="238"/>
      <c r="J72" s="238"/>
      <c r="K72" s="237" t="n">
        <f aca="false">K71/12</f>
        <v>1251.74916666667</v>
      </c>
      <c r="AMF72" s="0"/>
      <c r="AMG72" s="0"/>
      <c r="AMH72" s="0"/>
      <c r="AMI72" s="0"/>
      <c r="AMJ72" s="0"/>
    </row>
    <row r="73" s="1" customFormat="true" ht="26.85" hidden="false" customHeight="true" outlineLevel="0" collapsed="false">
      <c r="B73" s="238" t="s">
        <v>381</v>
      </c>
      <c r="C73" s="238"/>
      <c r="D73" s="238"/>
      <c r="E73" s="238"/>
      <c r="F73" s="238"/>
      <c r="G73" s="238"/>
      <c r="H73" s="238"/>
      <c r="I73" s="238"/>
      <c r="J73" s="238"/>
      <c r="K73" s="243" t="n">
        <f aca="false">'QTDE-ESTIMADA-SERVENTES'!C87</f>
        <v>10</v>
      </c>
      <c r="AMF73" s="0"/>
      <c r="AMG73" s="0"/>
      <c r="AMH73" s="0"/>
      <c r="AMI73" s="0"/>
      <c r="AMJ73" s="0"/>
    </row>
    <row r="74" s="1" customFormat="true" ht="16.5" hidden="false" customHeight="true" outlineLevel="0" collapsed="false">
      <c r="B74" s="238" t="s">
        <v>410</v>
      </c>
      <c r="C74" s="238"/>
      <c r="D74" s="238"/>
      <c r="E74" s="238"/>
      <c r="F74" s="238"/>
      <c r="G74" s="238"/>
      <c r="H74" s="238"/>
      <c r="I74" s="238"/>
      <c r="J74" s="238"/>
      <c r="K74" s="237" t="n">
        <f aca="false">K72/K73</f>
        <v>125.174916666667</v>
      </c>
      <c r="AMF74" s="0"/>
      <c r="AMG74" s="0"/>
      <c r="AMH74" s="0"/>
      <c r="AMI74" s="0"/>
      <c r="AMJ74" s="0"/>
    </row>
    <row r="75" s="1" customFormat="true" ht="16.5" hidden="false" customHeight="true" outlineLevel="0" collapsed="false">
      <c r="B75" s="239"/>
      <c r="C75" s="239"/>
      <c r="D75" s="239"/>
      <c r="E75" s="239"/>
      <c r="F75" s="239"/>
      <c r="G75" s="239"/>
      <c r="H75" s="239"/>
      <c r="I75" s="239"/>
      <c r="J75" s="240"/>
      <c r="K75" s="240"/>
      <c r="AMF75" s="0"/>
      <c r="AMG75" s="0"/>
      <c r="AMH75" s="0"/>
      <c r="AMI75" s="0"/>
      <c r="AMJ75" s="0"/>
    </row>
    <row r="76" s="1" customFormat="true" ht="16.5" hidden="false" customHeight="true" outlineLevel="0" collapsed="false">
      <c r="B76" s="239"/>
      <c r="C76" s="239"/>
      <c r="D76" s="239"/>
      <c r="E76" s="246"/>
      <c r="F76" s="239"/>
      <c r="G76" s="239"/>
      <c r="H76" s="239"/>
      <c r="I76" s="239"/>
      <c r="J76" s="240"/>
      <c r="K76" s="240"/>
      <c r="AMF76" s="0"/>
      <c r="AMG76" s="0"/>
      <c r="AMH76" s="0"/>
      <c r="AMI76" s="0"/>
      <c r="AMJ76" s="0"/>
    </row>
    <row r="77" s="1" customFormat="true" ht="30.6" hidden="false" customHeight="true" outlineLevel="0" collapsed="false">
      <c r="B77" s="230" t="s">
        <v>411</v>
      </c>
      <c r="C77" s="230"/>
      <c r="D77" s="230"/>
      <c r="E77" s="230"/>
      <c r="F77" s="230"/>
      <c r="G77" s="230"/>
      <c r="H77" s="230"/>
      <c r="I77" s="230"/>
      <c r="J77" s="230"/>
      <c r="K77" s="230"/>
      <c r="AMF77" s="0"/>
      <c r="AMG77" s="0"/>
      <c r="AMH77" s="0"/>
      <c r="AMI77" s="0"/>
      <c r="AMJ77" s="0"/>
    </row>
    <row r="78" s="1" customFormat="true" ht="31.5" hidden="false" customHeight="true" outlineLevel="0" collapsed="false">
      <c r="B78" s="230" t="s">
        <v>308</v>
      </c>
      <c r="C78" s="230" t="s">
        <v>127</v>
      </c>
      <c r="D78" s="230" t="s">
        <v>310</v>
      </c>
      <c r="E78" s="230" t="s">
        <v>412</v>
      </c>
      <c r="F78" s="230"/>
      <c r="G78" s="230"/>
      <c r="H78" s="230"/>
      <c r="I78" s="230" t="s">
        <v>413</v>
      </c>
      <c r="J78" s="230" t="s">
        <v>414</v>
      </c>
      <c r="K78" s="230" t="s">
        <v>386</v>
      </c>
      <c r="AMF78" s="0"/>
      <c r="AMG78" s="0"/>
      <c r="AMH78" s="0"/>
      <c r="AMI78" s="0"/>
      <c r="AMJ78" s="0"/>
    </row>
    <row r="79" s="1" customFormat="true" ht="30.6" hidden="false" customHeight="true" outlineLevel="0" collapsed="false">
      <c r="B79" s="230"/>
      <c r="C79" s="230"/>
      <c r="D79" s="230"/>
      <c r="E79" s="230" t="s">
        <v>334</v>
      </c>
      <c r="F79" s="230" t="s">
        <v>108</v>
      </c>
      <c r="G79" s="230" t="s">
        <v>109</v>
      </c>
      <c r="H79" s="230" t="s">
        <v>110</v>
      </c>
      <c r="I79" s="230"/>
      <c r="J79" s="230"/>
      <c r="K79" s="230"/>
      <c r="AMF79" s="0"/>
      <c r="AMG79" s="0"/>
      <c r="AMH79" s="0"/>
      <c r="AMI79" s="0"/>
      <c r="AMJ79" s="0"/>
    </row>
    <row r="80" s="1" customFormat="true" ht="30.6" hidden="false" customHeight="true" outlineLevel="0" collapsed="false">
      <c r="B80" s="230"/>
      <c r="C80" s="230"/>
      <c r="D80" s="230"/>
      <c r="E80" s="230" t="s">
        <v>134</v>
      </c>
      <c r="F80" s="230" t="s">
        <v>135</v>
      </c>
      <c r="G80" s="230" t="s">
        <v>136</v>
      </c>
      <c r="H80" s="230" t="s">
        <v>137</v>
      </c>
      <c r="I80" s="230" t="s">
        <v>316</v>
      </c>
      <c r="J80" s="230" t="s">
        <v>335</v>
      </c>
      <c r="K80" s="230" t="s">
        <v>138</v>
      </c>
      <c r="AMF80" s="0"/>
      <c r="AMG80" s="0"/>
      <c r="AMH80" s="0"/>
      <c r="AMI80" s="0"/>
      <c r="AMJ80" s="0"/>
    </row>
    <row r="81" s="1" customFormat="true" ht="34.35" hidden="false" customHeight="true" outlineLevel="0" collapsed="false">
      <c r="B81" s="232" t="n">
        <v>1</v>
      </c>
      <c r="C81" s="233" t="s">
        <v>415</v>
      </c>
      <c r="D81" s="232" t="s">
        <v>318</v>
      </c>
      <c r="E81" s="234" t="n">
        <v>1</v>
      </c>
      <c r="F81" s="235" t="n">
        <v>1</v>
      </c>
      <c r="G81" s="235" t="n">
        <v>0</v>
      </c>
      <c r="H81" s="235" t="n">
        <v>1</v>
      </c>
      <c r="I81" s="243" t="n">
        <f aca="false">SUM(E81:H81)</f>
        <v>3</v>
      </c>
      <c r="J81" s="244" t="n">
        <v>563.81</v>
      </c>
      <c r="K81" s="237" t="n">
        <f aca="false">I81*J81</f>
        <v>1691.43</v>
      </c>
      <c r="AMF81" s="0"/>
      <c r="AMG81" s="0"/>
      <c r="AMH81" s="0"/>
      <c r="AMI81" s="0"/>
      <c r="AMJ81" s="0"/>
    </row>
    <row r="82" s="1" customFormat="true" ht="19.35" hidden="false" customHeight="true" outlineLevel="0" collapsed="false">
      <c r="B82" s="232" t="n">
        <v>2</v>
      </c>
      <c r="C82" s="233" t="s">
        <v>416</v>
      </c>
      <c r="D82" s="232" t="s">
        <v>318</v>
      </c>
      <c r="E82" s="234" t="n">
        <v>1</v>
      </c>
      <c r="F82" s="235" t="n">
        <v>1</v>
      </c>
      <c r="G82" s="235" t="n">
        <v>0</v>
      </c>
      <c r="H82" s="235" t="n">
        <v>0</v>
      </c>
      <c r="I82" s="243" t="n">
        <f aca="false">SUM(E82:H82)</f>
        <v>2</v>
      </c>
      <c r="J82" s="244" t="n">
        <v>1988.44</v>
      </c>
      <c r="K82" s="237" t="n">
        <f aca="false">I82*J82</f>
        <v>3976.88</v>
      </c>
      <c r="AMF82" s="0"/>
      <c r="AMG82" s="0"/>
      <c r="AMH82" s="0"/>
      <c r="AMI82" s="0"/>
      <c r="AMJ82" s="0"/>
    </row>
    <row r="83" s="1" customFormat="true" ht="17.15" hidden="false" customHeight="false" outlineLevel="0" collapsed="false">
      <c r="B83" s="232" t="n">
        <v>3</v>
      </c>
      <c r="C83" s="233" t="s">
        <v>417</v>
      </c>
      <c r="D83" s="232" t="s">
        <v>318</v>
      </c>
      <c r="E83" s="234" t="n">
        <v>2</v>
      </c>
      <c r="F83" s="235" t="n">
        <v>1</v>
      </c>
      <c r="G83" s="235" t="n">
        <v>1</v>
      </c>
      <c r="H83" s="235" t="n">
        <v>1</v>
      </c>
      <c r="I83" s="243" t="n">
        <f aca="false">SUM(E83:H83)</f>
        <v>5</v>
      </c>
      <c r="J83" s="244" t="n">
        <v>244.36</v>
      </c>
      <c r="K83" s="237" t="n">
        <f aca="false">I83*J83</f>
        <v>1221.8</v>
      </c>
      <c r="AMF83" s="0"/>
      <c r="AMG83" s="0"/>
      <c r="AMH83" s="0"/>
      <c r="AMI83" s="0"/>
      <c r="AMJ83" s="0"/>
    </row>
    <row r="84" s="1" customFormat="true" ht="19.35" hidden="false" customHeight="true" outlineLevel="0" collapsed="false">
      <c r="B84" s="232" t="n">
        <v>4</v>
      </c>
      <c r="C84" s="233" t="s">
        <v>418</v>
      </c>
      <c r="D84" s="232" t="s">
        <v>318</v>
      </c>
      <c r="E84" s="234" t="n">
        <v>8</v>
      </c>
      <c r="F84" s="235" t="n">
        <v>4</v>
      </c>
      <c r="G84" s="235" t="n">
        <v>2</v>
      </c>
      <c r="H84" s="235" t="n">
        <v>2</v>
      </c>
      <c r="I84" s="243" t="n">
        <f aca="false">SUM(E84:H84)</f>
        <v>16</v>
      </c>
      <c r="J84" s="244" t="n">
        <v>43.03</v>
      </c>
      <c r="K84" s="237" t="n">
        <f aca="false">I84*J84</f>
        <v>688.48</v>
      </c>
      <c r="AMF84" s="0"/>
      <c r="AMG84" s="0"/>
      <c r="AMH84" s="0"/>
      <c r="AMI84" s="0"/>
      <c r="AMJ84" s="0"/>
    </row>
    <row r="85" s="1" customFormat="true" ht="32.8" hidden="false" customHeight="false" outlineLevel="0" collapsed="false">
      <c r="B85" s="232" t="n">
        <v>5</v>
      </c>
      <c r="C85" s="233" t="s">
        <v>419</v>
      </c>
      <c r="D85" s="232" t="s">
        <v>318</v>
      </c>
      <c r="E85" s="234" t="n">
        <v>1</v>
      </c>
      <c r="F85" s="235" t="n">
        <v>1</v>
      </c>
      <c r="G85" s="235" t="n">
        <v>1</v>
      </c>
      <c r="H85" s="235" t="n">
        <v>1</v>
      </c>
      <c r="I85" s="243" t="n">
        <f aca="false">SUM(E85:H85)</f>
        <v>4</v>
      </c>
      <c r="J85" s="244" t="n">
        <v>1454.2</v>
      </c>
      <c r="K85" s="237" t="n">
        <f aca="false">I85*J85</f>
        <v>5816.8</v>
      </c>
      <c r="AMF85" s="0"/>
      <c r="AMG85" s="0"/>
      <c r="AMH85" s="0"/>
      <c r="AMI85" s="0"/>
      <c r="AMJ85" s="0"/>
    </row>
    <row r="86" s="1" customFormat="true" ht="19.35" hidden="false" customHeight="true" outlineLevel="0" collapsed="false">
      <c r="B86" s="232" t="n">
        <v>6</v>
      </c>
      <c r="C86" s="233" t="s">
        <v>420</v>
      </c>
      <c r="D86" s="232" t="s">
        <v>318</v>
      </c>
      <c r="E86" s="234" t="n">
        <v>1</v>
      </c>
      <c r="F86" s="235" t="n">
        <v>0</v>
      </c>
      <c r="G86" s="235" t="n">
        <v>0</v>
      </c>
      <c r="H86" s="235" t="n">
        <v>1</v>
      </c>
      <c r="I86" s="243" t="n">
        <f aca="false">SUM(E86:H86)</f>
        <v>2</v>
      </c>
      <c r="J86" s="244" t="n">
        <v>1029.8</v>
      </c>
      <c r="K86" s="237" t="n">
        <f aca="false">I86*J86</f>
        <v>2059.6</v>
      </c>
      <c r="AMF86" s="0"/>
      <c r="AMG86" s="0"/>
      <c r="AMH86" s="0"/>
      <c r="AMI86" s="0"/>
      <c r="AMJ86" s="0"/>
    </row>
    <row r="87" s="1" customFormat="true" ht="19.35" hidden="false" customHeight="true" outlineLevel="0" collapsed="false">
      <c r="B87" s="232" t="n">
        <v>7</v>
      </c>
      <c r="C87" s="233" t="s">
        <v>421</v>
      </c>
      <c r="D87" s="232" t="s">
        <v>318</v>
      </c>
      <c r="E87" s="234" t="n">
        <v>1</v>
      </c>
      <c r="F87" s="235" t="n">
        <v>0</v>
      </c>
      <c r="G87" s="235" t="n">
        <v>0</v>
      </c>
      <c r="H87" s="235" t="n">
        <v>1</v>
      </c>
      <c r="I87" s="243" t="n">
        <f aca="false">SUM(E87:H87)</f>
        <v>2</v>
      </c>
      <c r="J87" s="244" t="n">
        <v>62.87</v>
      </c>
      <c r="K87" s="237" t="n">
        <f aca="false">I87*J87</f>
        <v>125.74</v>
      </c>
      <c r="AMF87" s="0"/>
      <c r="AMG87" s="0"/>
      <c r="AMH87" s="0"/>
      <c r="AMI87" s="0"/>
      <c r="AMJ87" s="0"/>
    </row>
    <row r="88" s="1" customFormat="true" ht="19.35" hidden="false" customHeight="true" outlineLevel="0" collapsed="false">
      <c r="B88" s="232" t="n">
        <v>8</v>
      </c>
      <c r="C88" s="233" t="s">
        <v>422</v>
      </c>
      <c r="D88" s="232" t="s">
        <v>318</v>
      </c>
      <c r="E88" s="234" t="n">
        <v>1</v>
      </c>
      <c r="F88" s="235" t="n">
        <v>0</v>
      </c>
      <c r="G88" s="235" t="n">
        <v>0</v>
      </c>
      <c r="H88" s="235" t="n">
        <v>1</v>
      </c>
      <c r="I88" s="243" t="n">
        <f aca="false">SUM(E88:H88)</f>
        <v>2</v>
      </c>
      <c r="J88" s="244" t="n">
        <v>61.2</v>
      </c>
      <c r="K88" s="237" t="n">
        <f aca="false">I88*J88</f>
        <v>122.4</v>
      </c>
      <c r="AMF88" s="0"/>
      <c r="AMG88" s="0"/>
      <c r="AMH88" s="0"/>
      <c r="AMI88" s="0"/>
      <c r="AMJ88" s="0"/>
    </row>
    <row r="89" s="1" customFormat="true" ht="19.35" hidden="false" customHeight="true" outlineLevel="0" collapsed="false">
      <c r="B89" s="232" t="n">
        <v>9</v>
      </c>
      <c r="C89" s="233" t="s">
        <v>423</v>
      </c>
      <c r="D89" s="232" t="s">
        <v>318</v>
      </c>
      <c r="E89" s="234" t="n">
        <v>1</v>
      </c>
      <c r="F89" s="235" t="n">
        <v>0</v>
      </c>
      <c r="G89" s="235" t="n">
        <v>1</v>
      </c>
      <c r="H89" s="235" t="n">
        <v>1</v>
      </c>
      <c r="I89" s="243" t="n">
        <f aca="false">SUM(E89:H89)</f>
        <v>3</v>
      </c>
      <c r="J89" s="244" t="n">
        <v>13.77</v>
      </c>
      <c r="K89" s="237" t="n">
        <f aca="false">I89*J89</f>
        <v>41.31</v>
      </c>
      <c r="AMF89" s="0"/>
      <c r="AMG89" s="0"/>
      <c r="AMH89" s="0"/>
      <c r="AMI89" s="0"/>
      <c r="AMJ89" s="0"/>
    </row>
    <row r="90" s="1" customFormat="true" ht="19.35" hidden="false" customHeight="true" outlineLevel="0" collapsed="false">
      <c r="B90" s="232" t="n">
        <v>10</v>
      </c>
      <c r="C90" s="233" t="s">
        <v>424</v>
      </c>
      <c r="D90" s="232" t="s">
        <v>318</v>
      </c>
      <c r="E90" s="234" t="n">
        <v>1</v>
      </c>
      <c r="F90" s="235" t="n">
        <v>0</v>
      </c>
      <c r="G90" s="235" t="n">
        <v>1</v>
      </c>
      <c r="H90" s="235" t="n">
        <v>1</v>
      </c>
      <c r="I90" s="243" t="n">
        <f aca="false">SUM(E90:H90)</f>
        <v>3</v>
      </c>
      <c r="J90" s="244" t="n">
        <v>35.36</v>
      </c>
      <c r="K90" s="237" t="n">
        <f aca="false">I90*J90</f>
        <v>106.08</v>
      </c>
      <c r="AMF90" s="0"/>
      <c r="AMG90" s="0"/>
      <c r="AMH90" s="0"/>
      <c r="AMI90" s="0"/>
      <c r="AMJ90" s="0"/>
    </row>
    <row r="91" s="1" customFormat="true" ht="19.35" hidden="false" customHeight="true" outlineLevel="0" collapsed="false">
      <c r="B91" s="232" t="n">
        <v>11</v>
      </c>
      <c r="C91" s="233" t="s">
        <v>425</v>
      </c>
      <c r="D91" s="232" t="s">
        <v>318</v>
      </c>
      <c r="E91" s="234" t="n">
        <v>2</v>
      </c>
      <c r="F91" s="235" t="n">
        <v>2</v>
      </c>
      <c r="G91" s="235" t="n">
        <v>1</v>
      </c>
      <c r="H91" s="235" t="n">
        <v>1</v>
      </c>
      <c r="I91" s="243" t="n">
        <f aca="false">SUM(E91:H91)</f>
        <v>6</v>
      </c>
      <c r="J91" s="244" t="n">
        <v>787.02</v>
      </c>
      <c r="K91" s="237" t="n">
        <f aca="false">I91*J91</f>
        <v>4722.12</v>
      </c>
      <c r="AMF91" s="0"/>
      <c r="AMG91" s="0"/>
      <c r="AMH91" s="0"/>
      <c r="AMI91" s="0"/>
      <c r="AMJ91" s="0"/>
    </row>
    <row r="92" s="1" customFormat="true" ht="19.35" hidden="false" customHeight="true" outlineLevel="0" collapsed="false">
      <c r="B92" s="238" t="s">
        <v>426</v>
      </c>
      <c r="C92" s="238"/>
      <c r="D92" s="238"/>
      <c r="E92" s="238"/>
      <c r="F92" s="238"/>
      <c r="G92" s="238"/>
      <c r="H92" s="238"/>
      <c r="I92" s="238"/>
      <c r="J92" s="238"/>
      <c r="K92" s="247" t="n">
        <f aca="false">SUM(K81:K91)</f>
        <v>20572.64</v>
      </c>
      <c r="AMF92" s="0"/>
      <c r="AMG92" s="0"/>
      <c r="AMH92" s="0"/>
      <c r="AMI92" s="0"/>
      <c r="AMJ92" s="0"/>
    </row>
    <row r="93" s="1" customFormat="true" ht="19.35" hidden="false" customHeight="true" outlineLevel="0" collapsed="false">
      <c r="B93" s="238" t="s">
        <v>427</v>
      </c>
      <c r="C93" s="238"/>
      <c r="D93" s="238"/>
      <c r="E93" s="238"/>
      <c r="F93" s="238"/>
      <c r="G93" s="238"/>
      <c r="H93" s="238"/>
      <c r="I93" s="238"/>
      <c r="J93" s="238"/>
      <c r="K93" s="248" t="n">
        <f aca="false">K92*0.8</f>
        <v>16458.112</v>
      </c>
      <c r="AMF93" s="0"/>
      <c r="AMG93" s="0"/>
      <c r="AMH93" s="0"/>
      <c r="AMI93" s="0"/>
      <c r="AMJ93" s="0"/>
    </row>
    <row r="94" s="1" customFormat="true" ht="85.05" hidden="false" customHeight="true" outlineLevel="0" collapsed="false">
      <c r="B94" s="238" t="s">
        <v>428</v>
      </c>
      <c r="C94" s="238"/>
      <c r="D94" s="238"/>
      <c r="E94" s="238"/>
      <c r="F94" s="238"/>
      <c r="G94" s="238"/>
      <c r="H94" s="238"/>
      <c r="I94" s="238"/>
      <c r="J94" s="238"/>
      <c r="K94" s="237" t="n">
        <f aca="false">K93/(12*5)</f>
        <v>274.301866666667</v>
      </c>
      <c r="AMF94" s="0"/>
      <c r="AMG94" s="0"/>
      <c r="AMH94" s="0"/>
      <c r="AMI94" s="0"/>
      <c r="AMJ94" s="0"/>
    </row>
    <row r="95" s="1" customFormat="true" ht="38.8" hidden="false" customHeight="true" outlineLevel="0" collapsed="false">
      <c r="B95" s="238" t="s">
        <v>429</v>
      </c>
      <c r="C95" s="238"/>
      <c r="D95" s="238"/>
      <c r="E95" s="238"/>
      <c r="F95" s="238"/>
      <c r="G95" s="238"/>
      <c r="H95" s="238"/>
      <c r="I95" s="238"/>
      <c r="J95" s="238"/>
      <c r="K95" s="243" t="n">
        <f aca="false">'QTDE-ESTIMADA-SERVENTES'!C87</f>
        <v>10</v>
      </c>
      <c r="AMF95" s="0"/>
      <c r="AMG95" s="0"/>
      <c r="AMH95" s="0"/>
      <c r="AMI95" s="0"/>
      <c r="AMJ95" s="0"/>
    </row>
    <row r="96" s="1" customFormat="true" ht="19.35" hidden="false" customHeight="true" outlineLevel="0" collapsed="false">
      <c r="B96" s="238" t="s">
        <v>430</v>
      </c>
      <c r="C96" s="238"/>
      <c r="D96" s="238"/>
      <c r="E96" s="238"/>
      <c r="F96" s="238"/>
      <c r="G96" s="238"/>
      <c r="H96" s="238"/>
      <c r="I96" s="238"/>
      <c r="J96" s="238"/>
      <c r="K96" s="237" t="n">
        <f aca="false">(K94/K95)</f>
        <v>27.4301866666667</v>
      </c>
      <c r="AMF96" s="0"/>
      <c r="AMG96" s="0"/>
      <c r="AMH96" s="0"/>
      <c r="AMI96" s="0"/>
      <c r="AMJ96" s="0"/>
    </row>
    <row r="97" s="1" customFormat="true" ht="16.5" hidden="false" customHeight="true" outlineLevel="0" collapsed="false">
      <c r="B97" s="239"/>
      <c r="C97" s="239"/>
      <c r="D97" s="239"/>
      <c r="E97" s="239"/>
      <c r="F97" s="239"/>
      <c r="G97" s="239"/>
      <c r="H97" s="239"/>
      <c r="I97" s="239"/>
      <c r="J97" s="240"/>
      <c r="K97" s="240"/>
      <c r="AMF97" s="0"/>
      <c r="AMG97" s="0"/>
      <c r="AMH97" s="0"/>
      <c r="AMI97" s="0"/>
      <c r="AMJ97" s="0"/>
    </row>
    <row r="98" s="1" customFormat="true" ht="16.5" hidden="false" customHeight="true" outlineLevel="0" collapsed="false">
      <c r="B98" s="239"/>
      <c r="C98" s="239"/>
      <c r="D98" s="239"/>
      <c r="E98" s="239"/>
      <c r="F98" s="239"/>
      <c r="G98" s="239"/>
      <c r="H98" s="239"/>
      <c r="I98" s="239"/>
      <c r="J98" s="240"/>
      <c r="K98" s="240"/>
      <c r="AMF98" s="0"/>
      <c r="AMG98" s="0"/>
      <c r="AMH98" s="0"/>
      <c r="AMI98" s="0"/>
      <c r="AMJ98" s="0"/>
    </row>
    <row r="99" s="1" customFormat="true" ht="16.5" hidden="false" customHeight="true" outlineLevel="0" collapsed="false">
      <c r="B99" s="230" t="s">
        <v>154</v>
      </c>
      <c r="C99" s="230"/>
      <c r="D99" s="230"/>
      <c r="E99" s="230"/>
      <c r="F99" s="230"/>
      <c r="G99" s="230"/>
      <c r="H99" s="230"/>
      <c r="I99" s="230"/>
      <c r="J99" s="230"/>
      <c r="K99" s="230"/>
      <c r="AMF99" s="0"/>
      <c r="AMG99" s="0"/>
      <c r="AMH99" s="0"/>
      <c r="AMI99" s="0"/>
      <c r="AMJ99" s="0"/>
    </row>
    <row r="100" s="1" customFormat="true" ht="16.5" hidden="false" customHeight="true" outlineLevel="0" collapsed="false">
      <c r="B100" s="106" t="s">
        <v>325</v>
      </c>
      <c r="C100" s="106"/>
      <c r="D100" s="106"/>
      <c r="E100" s="106"/>
      <c r="F100" s="106"/>
      <c r="G100" s="106"/>
      <c r="H100" s="106"/>
      <c r="I100" s="106"/>
      <c r="J100" s="106"/>
      <c r="K100" s="106"/>
      <c r="AMF100" s="0"/>
      <c r="AMG100" s="0"/>
      <c r="AMH100" s="0"/>
      <c r="AMI100" s="0"/>
      <c r="AMJ100" s="0"/>
    </row>
    <row r="101" s="1" customFormat="true" ht="16.5" hidden="false" customHeight="true" outlineLevel="0" collapsed="false">
      <c r="B101" s="107" t="s">
        <v>326</v>
      </c>
      <c r="C101" s="107"/>
      <c r="D101" s="107"/>
      <c r="E101" s="107"/>
      <c r="F101" s="107"/>
      <c r="G101" s="107"/>
      <c r="H101" s="107"/>
      <c r="I101" s="107"/>
      <c r="J101" s="107"/>
      <c r="K101" s="107"/>
      <c r="AMF101" s="0"/>
      <c r="AMG101" s="0"/>
      <c r="AMH101" s="0"/>
      <c r="AMI101" s="0"/>
      <c r="AMJ101" s="0"/>
    </row>
    <row r="102" s="1" customFormat="true" ht="16.5" hidden="false" customHeight="true" outlineLevel="0" collapsed="false">
      <c r="B102" s="107"/>
      <c r="C102" s="107"/>
      <c r="D102" s="107"/>
      <c r="E102" s="107"/>
      <c r="F102" s="107"/>
      <c r="G102" s="107"/>
      <c r="H102" s="107"/>
      <c r="I102" s="107"/>
      <c r="J102" s="107"/>
      <c r="K102" s="107"/>
      <c r="AMF102" s="0"/>
      <c r="AMG102" s="0"/>
      <c r="AMH102" s="0"/>
      <c r="AMI102" s="0"/>
      <c r="AMJ102" s="0"/>
    </row>
    <row r="103" s="1" customFormat="true" ht="16.5" hidden="false" customHeight="true" outlineLevel="0" collapsed="false">
      <c r="B103" s="108" t="s">
        <v>327</v>
      </c>
      <c r="C103" s="108"/>
      <c r="D103" s="108"/>
      <c r="E103" s="108"/>
      <c r="F103" s="108"/>
      <c r="G103" s="108"/>
      <c r="H103" s="108"/>
      <c r="I103" s="108"/>
      <c r="J103" s="108"/>
      <c r="K103" s="108"/>
      <c r="AMF103" s="0"/>
      <c r="AMG103" s="0"/>
      <c r="AMH103" s="0"/>
      <c r="AMI103" s="0"/>
      <c r="AMJ103" s="0"/>
    </row>
    <row r="104" s="1" customFormat="true" ht="16.5" hidden="false" customHeight="true" outlineLevel="0" collapsed="false">
      <c r="B104" s="108"/>
      <c r="C104" s="108"/>
      <c r="D104" s="108"/>
      <c r="E104" s="108"/>
      <c r="F104" s="108"/>
      <c r="G104" s="108"/>
      <c r="H104" s="108"/>
      <c r="I104" s="108"/>
      <c r="J104" s="108"/>
      <c r="K104" s="108"/>
      <c r="AMF104" s="0"/>
      <c r="AMG104" s="0"/>
      <c r="AMH104" s="0"/>
      <c r="AMI104" s="0"/>
      <c r="AMJ104" s="0"/>
    </row>
    <row r="105" s="1" customFormat="true" ht="16.5" hidden="false" customHeight="true" outlineLevel="0" collapsed="false">
      <c r="B105" s="107" t="s">
        <v>328</v>
      </c>
      <c r="C105" s="107"/>
      <c r="D105" s="107"/>
      <c r="E105" s="107"/>
      <c r="F105" s="107"/>
      <c r="G105" s="107"/>
      <c r="H105" s="107"/>
      <c r="I105" s="107"/>
      <c r="J105" s="107"/>
      <c r="K105" s="107"/>
      <c r="AMF105" s="0"/>
      <c r="AMG105" s="0"/>
      <c r="AMH105" s="0"/>
      <c r="AMI105" s="0"/>
      <c r="AMJ105" s="0"/>
    </row>
    <row r="106" s="1" customFormat="true" ht="16.5" hidden="false" customHeight="true" outlineLevel="0" collapsed="false">
      <c r="B106" s="107"/>
      <c r="C106" s="107"/>
      <c r="D106" s="107"/>
      <c r="E106" s="107"/>
      <c r="F106" s="107"/>
      <c r="G106" s="107"/>
      <c r="H106" s="107"/>
      <c r="I106" s="107"/>
      <c r="J106" s="107"/>
      <c r="K106" s="107"/>
      <c r="AMF106" s="0"/>
      <c r="AMG106" s="0"/>
      <c r="AMH106" s="0"/>
      <c r="AMI106" s="0"/>
      <c r="AMJ106" s="0"/>
    </row>
    <row r="107" s="1" customFormat="true" ht="16.5" hidden="false" customHeight="true" outlineLevel="0" collapsed="false">
      <c r="B107" s="3"/>
      <c r="C107" s="229"/>
      <c r="D107" s="3"/>
      <c r="E107" s="3"/>
      <c r="F107" s="3"/>
      <c r="G107" s="3"/>
      <c r="AMF107" s="0"/>
      <c r="AMG107" s="0"/>
      <c r="AMH107" s="0"/>
      <c r="AMI107" s="0"/>
      <c r="AMJ107" s="0"/>
    </row>
    <row r="108" customFormat="false" ht="12.8" hidden="false" customHeight="false" outlineLevel="0" collapsed="false">
      <c r="G108" s="241"/>
    </row>
    <row r="111" customFormat="false" ht="12.8" hidden="false" customHeight="false" outlineLevel="0" collapsed="false">
      <c r="H111" s="241"/>
    </row>
  </sheetData>
  <mergeCells count="44">
    <mergeCell ref="B1:K1"/>
    <mergeCell ref="B2:E2"/>
    <mergeCell ref="H2:I2"/>
    <mergeCell ref="B5:K5"/>
    <mergeCell ref="B6:B8"/>
    <mergeCell ref="C6:C8"/>
    <mergeCell ref="D6:D8"/>
    <mergeCell ref="E6:H6"/>
    <mergeCell ref="I6:I7"/>
    <mergeCell ref="J6:J7"/>
    <mergeCell ref="K6:K7"/>
    <mergeCell ref="B42:J42"/>
    <mergeCell ref="B43:J43"/>
    <mergeCell ref="B44:J44"/>
    <mergeCell ref="B47:K47"/>
    <mergeCell ref="B48:B50"/>
    <mergeCell ref="C48:C50"/>
    <mergeCell ref="D48:D50"/>
    <mergeCell ref="E48:H48"/>
    <mergeCell ref="I48:I49"/>
    <mergeCell ref="J48:J49"/>
    <mergeCell ref="K48:K49"/>
    <mergeCell ref="B71:J71"/>
    <mergeCell ref="B72:J72"/>
    <mergeCell ref="B73:J73"/>
    <mergeCell ref="B74:J74"/>
    <mergeCell ref="B77:K77"/>
    <mergeCell ref="B78:B80"/>
    <mergeCell ref="C78:C80"/>
    <mergeCell ref="D78:D80"/>
    <mergeCell ref="E78:H78"/>
    <mergeCell ref="I78:I79"/>
    <mergeCell ref="J78:J79"/>
    <mergeCell ref="K78:K79"/>
    <mergeCell ref="B92:J92"/>
    <mergeCell ref="B93:J93"/>
    <mergeCell ref="B94:J94"/>
    <mergeCell ref="B95:J95"/>
    <mergeCell ref="B96:J96"/>
    <mergeCell ref="B99:K99"/>
    <mergeCell ref="B100:K100"/>
    <mergeCell ref="B101:K102"/>
    <mergeCell ref="B103:K104"/>
    <mergeCell ref="B105:K106"/>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54"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pageSetUpPr fitToPage="false"/>
  </sheetPr>
  <dimension ref="B1:AMJ3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30" activeCellId="0" sqref="D30"/>
    </sheetView>
  </sheetViews>
  <sheetFormatPr defaultRowHeight="12.8" zeroHeight="false" outlineLevelRow="0" outlineLevelCol="0"/>
  <cols>
    <col collapsed="false" customWidth="true" hidden="false" outlineLevel="0" max="1" min="1" style="227" width="1.71"/>
    <col collapsed="false" customWidth="true" hidden="false" outlineLevel="0" max="2" min="2" style="227" width="6.01"/>
    <col collapsed="false" customWidth="true" hidden="false" outlineLevel="0" max="3" min="3" style="227" width="33.87"/>
    <col collapsed="false" customWidth="true" hidden="false" outlineLevel="0" max="4" min="4" style="227" width="25.29"/>
    <col collapsed="false" customWidth="true" hidden="false" outlineLevel="0" max="5" min="5" style="227" width="20.71"/>
    <col collapsed="false" customWidth="true" hidden="false" outlineLevel="0" max="6" min="6" style="227" width="15.29"/>
    <col collapsed="false" customWidth="true" hidden="false" outlineLevel="0" max="7" min="7" style="227" width="14.57"/>
    <col collapsed="false" customWidth="true" hidden="false" outlineLevel="0" max="8" min="8" style="227" width="15.88"/>
    <col collapsed="false" customWidth="true" hidden="false" outlineLevel="0" max="1022" min="9" style="227" width="9.13"/>
    <col collapsed="false" customWidth="false" hidden="false" outlineLevel="0" max="1025" min="1023" style="0" width="11.52"/>
  </cols>
  <sheetData>
    <row r="1" s="1" customFormat="true" ht="20.25" hidden="false" customHeight="true" outlineLevel="0" collapsed="false">
      <c r="B1" s="128" t="str">
        <f aca="false">RAMO</f>
        <v>RAMO: MINISTÉRIO PÚBLICO FEDERAL</v>
      </c>
      <c r="C1" s="128"/>
      <c r="D1" s="128"/>
      <c r="E1" s="128"/>
      <c r="F1" s="128"/>
      <c r="AMI1" s="0"/>
      <c r="AMJ1" s="0"/>
    </row>
    <row r="2" s="1" customFormat="true" ht="17.35" hidden="false" customHeight="false" outlineLevel="0" collapsed="false">
      <c r="B2" s="129" t="str">
        <f aca="false">UG</f>
        <v>UNIDADE GESTORA (SIGLA): PRMS</v>
      </c>
      <c r="C2" s="129"/>
      <c r="D2" s="129"/>
      <c r="E2" s="130" t="s">
        <v>2</v>
      </c>
      <c r="F2" s="131" t="n">
        <f aca="false">IF(DATA_DO_ORCAMENTO_ESTIMATIVO="","",DATA_DO_ORCAMENTO_ESTIMATIVO)</f>
        <v>44915</v>
      </c>
      <c r="AMI2" s="0"/>
      <c r="AMJ2" s="0"/>
    </row>
    <row r="3" s="1" customFormat="true" ht="16.5" hidden="false" customHeight="true" outlineLevel="0" collapsed="false">
      <c r="B3" s="3"/>
      <c r="C3" s="3"/>
      <c r="D3" s="3"/>
      <c r="E3" s="3"/>
      <c r="F3" s="3"/>
      <c r="AMI3" s="0"/>
      <c r="AMJ3" s="0"/>
    </row>
    <row r="4" s="1" customFormat="true" ht="17.35" hidden="false" customHeight="false" outlineLevel="0" collapsed="false">
      <c r="B4" s="249" t="s">
        <v>431</v>
      </c>
      <c r="C4" s="249"/>
      <c r="D4" s="249"/>
      <c r="E4" s="249"/>
      <c r="F4" s="249"/>
      <c r="AMI4" s="0"/>
      <c r="AMJ4" s="0"/>
    </row>
    <row r="5" s="1" customFormat="true" ht="46.25" hidden="false" customHeight="false" outlineLevel="0" collapsed="false">
      <c r="B5" s="21" t="s">
        <v>432</v>
      </c>
      <c r="C5" s="21" t="s">
        <v>31</v>
      </c>
      <c r="D5" s="49" t="s">
        <v>433</v>
      </c>
      <c r="E5" s="49" t="s">
        <v>310</v>
      </c>
      <c r="F5" s="49" t="s">
        <v>434</v>
      </c>
      <c r="AMI5" s="0"/>
      <c r="AMJ5" s="0"/>
    </row>
    <row r="6" s="1" customFormat="true" ht="16.4" hidden="false" customHeight="false" outlineLevel="0" collapsed="false">
      <c r="B6" s="21" t="s">
        <v>435</v>
      </c>
      <c r="C6" s="250" t="s">
        <v>44</v>
      </c>
      <c r="D6" s="250" t="s">
        <v>107</v>
      </c>
      <c r="E6" s="251" t="s">
        <v>436</v>
      </c>
      <c r="F6" s="252" t="n">
        <f aca="false">'CUSTO M² CG'!H62</f>
        <v>29574.2583972201</v>
      </c>
      <c r="AMI6" s="0"/>
      <c r="AMJ6" s="0"/>
    </row>
    <row r="7" s="1" customFormat="true" ht="16.4" hidden="false" customHeight="false" outlineLevel="0" collapsed="false">
      <c r="B7" s="49" t="s">
        <v>437</v>
      </c>
      <c r="C7" s="250" t="s">
        <v>44</v>
      </c>
      <c r="D7" s="250" t="s">
        <v>438</v>
      </c>
      <c r="E7" s="251" t="s">
        <v>436</v>
      </c>
      <c r="F7" s="252" t="n">
        <f aca="false">'CUSTO M² DOU'!F46</f>
        <v>10160.7471998413</v>
      </c>
      <c r="AMI7" s="0"/>
      <c r="AMJ7" s="0"/>
    </row>
    <row r="8" s="1" customFormat="true" ht="16.4" hidden="false" customHeight="false" outlineLevel="0" collapsed="false">
      <c r="B8" s="49" t="s">
        <v>439</v>
      </c>
      <c r="C8" s="250" t="s">
        <v>44</v>
      </c>
      <c r="D8" s="250" t="s">
        <v>440</v>
      </c>
      <c r="E8" s="251" t="s">
        <v>436</v>
      </c>
      <c r="F8" s="252" t="n">
        <f aca="false">'CUSTO M² TL'!F46</f>
        <v>4344.92384488551</v>
      </c>
      <c r="AMI8" s="0"/>
      <c r="AMJ8" s="0"/>
    </row>
    <row r="9" s="1" customFormat="true" ht="16.4" hidden="false" customHeight="false" outlineLevel="0" collapsed="false">
      <c r="B9" s="49" t="s">
        <v>441</v>
      </c>
      <c r="C9" s="250" t="s">
        <v>44</v>
      </c>
      <c r="D9" s="250" t="s">
        <v>442</v>
      </c>
      <c r="E9" s="251" t="s">
        <v>436</v>
      </c>
      <c r="F9" s="252" t="n">
        <f aca="false">'CUSTO M² COR'!F46</f>
        <v>4802.84777420082</v>
      </c>
      <c r="AMI9" s="0"/>
      <c r="AMJ9" s="0"/>
    </row>
    <row r="10" s="1" customFormat="true" ht="16.5" hidden="false" customHeight="true" outlineLevel="0" collapsed="false">
      <c r="B10" s="48" t="s">
        <v>443</v>
      </c>
      <c r="C10" s="48"/>
      <c r="D10" s="48"/>
      <c r="E10" s="48"/>
      <c r="F10" s="253" t="n">
        <f aca="false">SUM(F6:F9)</f>
        <v>48882.7772161478</v>
      </c>
      <c r="AMI10" s="0"/>
      <c r="AMJ10" s="0"/>
    </row>
    <row r="11" customFormat="false" ht="13.8" hidden="false" customHeight="false" outlineLevel="0" collapsed="false">
      <c r="G11" s="1"/>
    </row>
    <row r="12" s="1" customFormat="true" ht="17.35" hidden="false" customHeight="false" outlineLevel="0" collapsed="false">
      <c r="B12" s="254" t="s">
        <v>444</v>
      </c>
      <c r="C12" s="254"/>
      <c r="D12" s="254"/>
      <c r="E12" s="254"/>
      <c r="F12" s="254"/>
      <c r="G12" s="254"/>
      <c r="H12" s="254"/>
      <c r="AMI12" s="0"/>
      <c r="AMJ12" s="0"/>
    </row>
    <row r="13" customFormat="false" ht="49.5" hidden="false" customHeight="true" outlineLevel="0" collapsed="false">
      <c r="B13" s="21" t="s">
        <v>445</v>
      </c>
      <c r="C13" s="21"/>
      <c r="D13" s="49" t="str">
        <f aca="false">ENCARREGADO_DE_LIMPEZA</f>
        <v>Encarregado de Limpeza</v>
      </c>
      <c r="E13" s="49" t="str">
        <f aca="false">SERVENTE</f>
        <v>Servente Campo Grande</v>
      </c>
      <c r="F13" s="49" t="s">
        <v>446</v>
      </c>
      <c r="G13" s="49" t="s">
        <v>447</v>
      </c>
      <c r="H13" s="49" t="s">
        <v>448</v>
      </c>
    </row>
    <row r="14" customFormat="false" ht="16.5" hidden="false" customHeight="true" outlineLevel="0" collapsed="false">
      <c r="B14" s="255" t="s">
        <v>449</v>
      </c>
      <c r="C14" s="255"/>
      <c r="D14" s="256" t="n">
        <f aca="false">IF(QTDE_DE_ENC&lt;1,"",ENCARREGADO!SUBMOD_2_1_DEC_TERC_ADIC_FERIAS_ENC+ENCARREGADO!SUBMOD_2_2_GPS_FGTS_ENC+ENCARREGADO!MOD_3_PROVISAO_RESCISAO_ENC+ENCARREGADO!SUBMOD_4_1_SUBSTITUTO_ENC)</f>
        <v>1025.56986913081</v>
      </c>
      <c r="E14" s="256" t="n">
        <f aca="false">IF(QTDE_DE_SERV="","",'SERVENTE CG'!SUBMOD_2_1_DEC_TERC_ADIC_FERIAS_SERV+'SERVENTE CG'!SUBMOD_2_2_GPS_FGTS_SERV+'SERVENTE CG'!MOD_3_PROVISAO_RESCISAO_SERV+'SERVENTE CG'!SUBMOD_4_1_SUBSTITUTO_SERV)</f>
        <v>905.574952623767</v>
      </c>
      <c r="F14" s="256" t="n">
        <f aca="false">'SERVENTE DOU'!F32+'SERVENTE DOU'!F43+'SERVENTE DOU'!F57+'SERVENTE DOU'!F67</f>
        <v>899.409603054071</v>
      </c>
      <c r="G14" s="256" t="n">
        <f aca="false">'SERVENTE TL'!F32+'SERVENTE TL'!F43+'SERVENTE TL'!F57+'SERVENTE TL'!F67</f>
        <v>903.43048320822</v>
      </c>
      <c r="H14" s="256" t="n">
        <f aca="false">'SERVENTE COR'!F32+'SERVENTE COR'!F43+'SERVENTE COR'!F57+'SERVENTE COR'!F67</f>
        <v>901.82213114656</v>
      </c>
    </row>
    <row r="15" customFormat="false" ht="16.5" hidden="false" customHeight="true" outlineLevel="0" collapsed="false">
      <c r="B15" s="25" t="s">
        <v>450</v>
      </c>
      <c r="C15" s="25"/>
      <c r="D15" s="257" t="n">
        <f aca="false">IF(QTDE_DE_ENC&lt;1,"",ENCARREGADO!MOD_1_REMUNERACAO_ENC)</f>
        <v>1387.26</v>
      </c>
      <c r="E15" s="257" t="n">
        <f aca="false">IF(QTDE_DE_SERV="","",'SERVENTE CG'!MOD_1_REMUNERACAO_SERV)</f>
        <v>1217</v>
      </c>
      <c r="F15" s="257" t="n">
        <f aca="false">'SERVENTE DOU'!F26</f>
        <v>1217</v>
      </c>
      <c r="G15" s="257" t="n">
        <f aca="false">'SERVENTE TL'!F26</f>
        <v>1217</v>
      </c>
      <c r="H15" s="257" t="n">
        <f aca="false">'SERVENTE COR'!F26</f>
        <v>1217</v>
      </c>
    </row>
    <row r="16" customFormat="false" ht="31.35" hidden="false" customHeight="true" outlineLevel="0" collapsed="false">
      <c r="B16" s="58" t="s">
        <v>451</v>
      </c>
      <c r="C16" s="58"/>
      <c r="D16" s="258" t="n">
        <f aca="false">IF(QTDE_DE_ENC&lt;1,"",IFERROR(D14/D15,0))</f>
        <v>0.739277330227073</v>
      </c>
      <c r="E16" s="258" t="n">
        <f aca="false">IF(QTDE_DE_SERV="","",IFERROR(E14/E15,0))</f>
        <v>0.744104316042536</v>
      </c>
      <c r="F16" s="258" t="n">
        <f aca="false">F14/F15</f>
        <v>0.739038293388719</v>
      </c>
      <c r="G16" s="258" t="n">
        <f aca="false">G14/G15</f>
        <v>0.742342221206426</v>
      </c>
      <c r="H16" s="258" t="n">
        <f aca="false">H14/H15</f>
        <v>0.741020650079343</v>
      </c>
    </row>
    <row r="17" customFormat="false" ht="12.8" hidden="false" customHeight="false" outlineLevel="0" collapsed="false">
      <c r="B17" s="259" t="s">
        <v>452</v>
      </c>
      <c r="C17" s="259"/>
      <c r="D17" s="259"/>
    </row>
    <row r="22" customFormat="false" ht="12.8" hidden="false" customHeight="false" outlineLevel="0" collapsed="false">
      <c r="G22" s="241"/>
    </row>
    <row r="34" customFormat="false" ht="12.8" hidden="false" customHeight="false" outlineLevel="0" collapsed="false">
      <c r="G34" s="227" t="s">
        <v>453</v>
      </c>
    </row>
  </sheetData>
  <mergeCells count="9">
    <mergeCell ref="B1:F1"/>
    <mergeCell ref="B2:D2"/>
    <mergeCell ref="B4:F4"/>
    <mergeCell ref="B10:E10"/>
    <mergeCell ref="B12:H12"/>
    <mergeCell ref="B13:C13"/>
    <mergeCell ref="B14:C14"/>
    <mergeCell ref="B15:C15"/>
    <mergeCell ref="B16:C16"/>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8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B1:I1048576"/>
  <sheetViews>
    <sheetView showFormulas="false" showGridLines="false" showRowColHeaders="true" showZeros="true" rightToLeft="false" tabSelected="false" showOutlineSymbols="true" defaultGridColor="true" view="normal" topLeftCell="A58" colorId="64" zoomScale="80" zoomScaleNormal="80" zoomScalePageLayoutView="100" workbookViewId="0">
      <selection pane="topLeft" activeCell="B94" activeCellId="0" sqref="B94"/>
    </sheetView>
  </sheetViews>
  <sheetFormatPr defaultRowHeight="12.75" zeroHeight="false" outlineLevelRow="0" outlineLevelCol="0"/>
  <cols>
    <col collapsed="false" customWidth="true" hidden="false" outlineLevel="0" max="1" min="1" style="0" width="8.14"/>
    <col collapsed="false" customWidth="true" hidden="false" outlineLevel="0" max="2" min="2" style="0" width="21.57"/>
    <col collapsed="false" customWidth="true" hidden="false" outlineLevel="0" max="3" min="3" style="0" width="20.98"/>
    <col collapsed="false" customWidth="true" hidden="false" outlineLevel="0" max="4" min="4" style="0" width="28.42"/>
    <col collapsed="false" customWidth="true" hidden="false" outlineLevel="0" max="5" min="5" style="0" width="18.85"/>
    <col collapsed="false" customWidth="true" hidden="false" outlineLevel="0" max="6" min="6" style="0" width="24.15"/>
    <col collapsed="false" customWidth="true" hidden="false" outlineLevel="0" max="7" min="7" style="0" width="19.42"/>
    <col collapsed="false" customWidth="true" hidden="false" outlineLevel="0" max="8" min="8" style="0" width="9.16"/>
    <col collapsed="false" customWidth="true" hidden="false" outlineLevel="0" max="9" min="9" style="0" width="12.71"/>
    <col collapsed="false" customWidth="true" hidden="false" outlineLevel="0" max="1025" min="10" style="0" width="9.16"/>
  </cols>
  <sheetData>
    <row r="1" customFormat="false" ht="12.75" hidden="false" customHeight="true" outlineLevel="0" collapsed="false">
      <c r="B1" s="260"/>
      <c r="C1" s="260"/>
      <c r="D1" s="260"/>
      <c r="E1" s="260"/>
    </row>
    <row r="2" customFormat="false" ht="21.2" hidden="false" customHeight="true" outlineLevel="0" collapsed="false">
      <c r="B2" s="261" t="s">
        <v>454</v>
      </c>
      <c r="C2" s="261"/>
      <c r="D2" s="261"/>
      <c r="E2" s="261"/>
    </row>
    <row r="3" customFormat="false" ht="15.6" hidden="false" customHeight="true" outlineLevel="0" collapsed="false">
      <c r="B3" s="230" t="s">
        <v>258</v>
      </c>
      <c r="C3" s="230" t="s">
        <v>287</v>
      </c>
      <c r="D3" s="262" t="s">
        <v>455</v>
      </c>
      <c r="E3" s="230" t="s">
        <v>456</v>
      </c>
    </row>
    <row r="4" customFormat="false" ht="15.6" hidden="false" customHeight="true" outlineLevel="0" collapsed="false">
      <c r="B4" s="230"/>
      <c r="C4" s="230"/>
      <c r="D4" s="262"/>
      <c r="E4" s="230"/>
    </row>
    <row r="5" customFormat="false" ht="86.25" hidden="false" customHeight="false" outlineLevel="0" collapsed="false">
      <c r="B5" s="230"/>
      <c r="C5" s="230" t="s">
        <v>135</v>
      </c>
      <c r="D5" s="230" t="s">
        <v>457</v>
      </c>
      <c r="E5" s="230" t="s">
        <v>458</v>
      </c>
    </row>
    <row r="6" customFormat="false" ht="21.2" hidden="false" customHeight="true" outlineLevel="0" collapsed="false">
      <c r="B6" s="263" t="s">
        <v>143</v>
      </c>
      <c r="C6" s="264" t="n">
        <f aca="false">'INSERÇÃO-DE-DADOS_PRODUTIVIDADE'!D9</f>
        <v>3593.54</v>
      </c>
      <c r="D6" s="265" t="n">
        <f aca="false">E29*'INSERÇÃO-DE-DADOS_PRODUTIVIDADE'!H9</f>
        <v>4800</v>
      </c>
      <c r="E6" s="265" t="n">
        <f aca="false">IFERROR(C6/D6,0)</f>
        <v>0.748654166666667</v>
      </c>
      <c r="I6" s="266"/>
    </row>
    <row r="7" customFormat="false" ht="21.2" hidden="false" customHeight="true" outlineLevel="0" collapsed="false">
      <c r="B7" s="263" t="s">
        <v>459</v>
      </c>
      <c r="C7" s="264" t="n">
        <f aca="false">'INSERÇÃO-DE-DADOS_PRODUTIVIDADE'!D10</f>
        <v>37.06</v>
      </c>
      <c r="D7" s="265" t="n">
        <f aca="false">E29*'INSERÇÃO-DE-DADOS_PRODUTIVIDADE'!H10</f>
        <v>9000</v>
      </c>
      <c r="E7" s="265" t="n">
        <f aca="false">C7/D7</f>
        <v>0.00411777777777778</v>
      </c>
      <c r="I7" s="267"/>
    </row>
    <row r="8" customFormat="false" ht="21.2" hidden="false" customHeight="true" outlineLevel="0" collapsed="false">
      <c r="B8" s="263" t="s">
        <v>145</v>
      </c>
      <c r="C8" s="264" t="n">
        <f aca="false">'INSERÇÃO-DE-DADOS_PRODUTIVIDADE'!D11</f>
        <v>116.45</v>
      </c>
      <c r="D8" s="265" t="n">
        <f aca="false">E29*'INSERÇÃO-DE-DADOS_PRODUTIVIDADE'!H11</f>
        <v>1200</v>
      </c>
      <c r="E8" s="265" t="n">
        <f aca="false">IFERROR(C8/D8,0)</f>
        <v>0.0970416666666667</v>
      </c>
    </row>
    <row r="9" customFormat="false" ht="21.2" hidden="false" customHeight="true" outlineLevel="0" collapsed="false">
      <c r="B9" s="263" t="s">
        <v>147</v>
      </c>
      <c r="C9" s="264" t="n">
        <f aca="false">'INSERÇÃO-DE-DADOS_PRODUTIVIDADE'!D12</f>
        <v>176.15</v>
      </c>
      <c r="D9" s="265" t="n">
        <f aca="false">E29*'INSERÇÃO-DE-DADOS_PRODUTIVIDADE'!H12</f>
        <v>10800</v>
      </c>
      <c r="E9" s="265" t="n">
        <f aca="false">IFERROR(C9/D9,0)</f>
        <v>0.0163101851851852</v>
      </c>
    </row>
    <row r="10" customFormat="false" ht="54.6" hidden="false" customHeight="true" outlineLevel="0" collapsed="false">
      <c r="B10" s="263" t="s">
        <v>148</v>
      </c>
      <c r="C10" s="264" t="n">
        <f aca="false">'INSERÇÃO-DE-DADOS_PRODUTIVIDADE'!D13</f>
        <v>2814.91</v>
      </c>
      <c r="D10" s="265" t="n">
        <f aca="false">E29*'INSERÇÃO-DE-DADOS_PRODUTIVIDADE'!H13</f>
        <v>36000</v>
      </c>
      <c r="E10" s="265" t="n">
        <f aca="false">IFERROR(C10/D10,0)</f>
        <v>0.0781919444444444</v>
      </c>
    </row>
    <row r="11" customFormat="false" ht="21.2" hidden="false" customHeight="true" outlineLevel="0" collapsed="false">
      <c r="B11" s="263" t="s">
        <v>149</v>
      </c>
      <c r="C11" s="264" t="n">
        <f aca="false">'INSERÇÃO-DE-DADOS_PRODUTIVIDADE'!D14</f>
        <v>237.53</v>
      </c>
      <c r="D11" s="265" t="n">
        <f aca="false">E29*'INSERÇÃO-DE-DADOS_PRODUTIVIDADE'!H14</f>
        <v>10800</v>
      </c>
      <c r="E11" s="265" t="n">
        <f aca="false">IFERROR(C11/D11,0)</f>
        <v>0.0219935185185185</v>
      </c>
    </row>
    <row r="12" customFormat="false" ht="21.2" hidden="false" customHeight="true" outlineLevel="0" collapsed="false">
      <c r="B12" s="263" t="s">
        <v>151</v>
      </c>
      <c r="C12" s="264" t="n">
        <f aca="false">'INSERÇÃO-DE-DADOS_PRODUTIVIDADE'!D15</f>
        <v>358.43</v>
      </c>
      <c r="D12" s="268" t="n">
        <f aca="false">'CUSTO M² CG'!G41</f>
        <v>5.18518518518519E-005</v>
      </c>
      <c r="E12" s="265" t="n">
        <f aca="false">IFERROR((C12*(D12)),0)</f>
        <v>0.0185852592592593</v>
      </c>
    </row>
    <row r="13" customFormat="false" ht="21.2" hidden="false" customHeight="true" outlineLevel="0" collapsed="false">
      <c r="B13" s="263" t="s">
        <v>152</v>
      </c>
      <c r="C13" s="264" t="n">
        <f aca="false">'INSERÇÃO-DE-DADOS_PRODUTIVIDADE'!D16</f>
        <v>358.43</v>
      </c>
      <c r="D13" s="268" t="n">
        <f aca="false">'CUSTO M² CG'!G42</f>
        <v>5.18518518518519E-005</v>
      </c>
      <c r="E13" s="265" t="n">
        <f aca="false">IFERROR((C13*(D13)),0)</f>
        <v>0.0185852592592593</v>
      </c>
      <c r="I13" s="267"/>
    </row>
    <row r="14" customFormat="false" ht="21.2" hidden="false" customHeight="true" outlineLevel="0" collapsed="false">
      <c r="B14" s="269" t="s">
        <v>454</v>
      </c>
      <c r="C14" s="269"/>
      <c r="D14" s="269"/>
      <c r="E14" s="270" t="n">
        <f aca="false">TRUNC(SUM(E6:E13),0)</f>
        <v>1</v>
      </c>
      <c r="F14" s="271"/>
    </row>
    <row r="15" customFormat="false" ht="21.2" hidden="false" customHeight="true" outlineLevel="0" collapsed="false">
      <c r="B15" s="272" t="s">
        <v>460</v>
      </c>
      <c r="C15" s="272"/>
      <c r="D15" s="272"/>
      <c r="E15" s="273" t="n">
        <f aca="false">SUM(E6:E13)</f>
        <v>1.00347977777778</v>
      </c>
      <c r="F15" s="271"/>
    </row>
    <row r="16" customFormat="false" ht="12.75" hidden="false" customHeight="true" outlineLevel="0" collapsed="false">
      <c r="B16" s="260"/>
      <c r="C16" s="260"/>
      <c r="D16" s="260"/>
      <c r="E16" s="260"/>
    </row>
    <row r="17" customFormat="false" ht="20.25" hidden="false" customHeight="true" outlineLevel="0" collapsed="false">
      <c r="B17" s="261" t="s">
        <v>461</v>
      </c>
      <c r="C17" s="261"/>
      <c r="D17" s="261"/>
      <c r="E17" s="261"/>
    </row>
    <row r="18" customFormat="false" ht="12.75" hidden="false" customHeight="true" outlineLevel="0" collapsed="false">
      <c r="B18" s="230" t="s">
        <v>258</v>
      </c>
      <c r="C18" s="230" t="s">
        <v>287</v>
      </c>
      <c r="D18" s="262" t="s">
        <v>455</v>
      </c>
      <c r="E18" s="230" t="s">
        <v>456</v>
      </c>
    </row>
    <row r="19" customFormat="false" ht="12.75" hidden="false" customHeight="false" outlineLevel="0" collapsed="false">
      <c r="B19" s="230"/>
      <c r="C19" s="230"/>
      <c r="D19" s="262"/>
      <c r="E19" s="230"/>
    </row>
    <row r="20" customFormat="false" ht="86.25" hidden="false" customHeight="false" outlineLevel="0" collapsed="false">
      <c r="B20" s="230"/>
      <c r="C20" s="230" t="s">
        <v>135</v>
      </c>
      <c r="D20" s="230" t="s">
        <v>457</v>
      </c>
      <c r="E20" s="230" t="s">
        <v>458</v>
      </c>
    </row>
    <row r="21" customFormat="false" ht="17.25" hidden="false" customHeight="false" outlineLevel="0" collapsed="false">
      <c r="B21" s="263" t="s">
        <v>143</v>
      </c>
      <c r="C21" s="264" t="n">
        <f aca="false">'INSERÇÃO-DE-DADOS_PRODUTIVIDADE'!D9</f>
        <v>3593.54</v>
      </c>
      <c r="D21" s="265" t="n">
        <f aca="false">'INSERÇÃO-DE-DADOS_PRODUTIVIDADE'!H9</f>
        <v>800</v>
      </c>
      <c r="E21" s="264" t="n">
        <f aca="false">C21/D21</f>
        <v>4.491925</v>
      </c>
    </row>
    <row r="22" customFormat="false" ht="17.25" hidden="false" customHeight="false" outlineLevel="0" collapsed="false">
      <c r="B22" s="263" t="s">
        <v>459</v>
      </c>
      <c r="C22" s="264" t="n">
        <f aca="false">'INSERÇÃO-DE-DADOS_PRODUTIVIDADE'!D10</f>
        <v>37.06</v>
      </c>
      <c r="D22" s="265" t="n">
        <f aca="false">'INSERÇÃO-DE-DADOS_PRODUTIVIDADE'!H10</f>
        <v>1500</v>
      </c>
      <c r="E22" s="264" t="n">
        <f aca="false">C22/D22</f>
        <v>0.0247066666666667</v>
      </c>
    </row>
    <row r="23" customFormat="false" ht="17.25" hidden="false" customHeight="false" outlineLevel="0" collapsed="false">
      <c r="B23" s="263" t="s">
        <v>145</v>
      </c>
      <c r="C23" s="264" t="n">
        <f aca="false">'INSERÇÃO-DE-DADOS_PRODUTIVIDADE'!D11</f>
        <v>116.45</v>
      </c>
      <c r="D23" s="265" t="n">
        <f aca="false">'INSERÇÃO-DE-DADOS_PRODUTIVIDADE'!H11</f>
        <v>200</v>
      </c>
      <c r="E23" s="264" t="n">
        <f aca="false">C23/D23</f>
        <v>0.58225</v>
      </c>
    </row>
    <row r="24" customFormat="false" ht="17.25" hidden="false" customHeight="false" outlineLevel="0" collapsed="false">
      <c r="B24" s="263" t="s">
        <v>147</v>
      </c>
      <c r="C24" s="264" t="n">
        <f aca="false">'INSERÇÃO-DE-DADOS_PRODUTIVIDADE'!D12</f>
        <v>176.15</v>
      </c>
      <c r="D24" s="265" t="n">
        <f aca="false">'INSERÇÃO-DE-DADOS_PRODUTIVIDADE'!H12</f>
        <v>1800</v>
      </c>
      <c r="E24" s="264" t="n">
        <f aca="false">C24/D24</f>
        <v>0.0978611111111111</v>
      </c>
    </row>
    <row r="25" customFormat="false" ht="51.75" hidden="false" customHeight="false" outlineLevel="0" collapsed="false">
      <c r="B25" s="263" t="s">
        <v>148</v>
      </c>
      <c r="C25" s="264" t="n">
        <f aca="false">'INSERÇÃO-DE-DADOS_PRODUTIVIDADE'!D13</f>
        <v>2814.91</v>
      </c>
      <c r="D25" s="265" t="n">
        <f aca="false">'INSERÇÃO-DE-DADOS_PRODUTIVIDADE'!H13</f>
        <v>6000</v>
      </c>
      <c r="E25" s="264" t="n">
        <f aca="false">C25/D25</f>
        <v>0.469151666666667</v>
      </c>
    </row>
    <row r="26" customFormat="false" ht="17.25" hidden="false" customHeight="false" outlineLevel="0" collapsed="false">
      <c r="B26" s="263" t="s">
        <v>149</v>
      </c>
      <c r="C26" s="264" t="n">
        <f aca="false">'INSERÇÃO-DE-DADOS_PRODUTIVIDADE'!D14</f>
        <v>237.53</v>
      </c>
      <c r="D26" s="265" t="n">
        <f aca="false">'INSERÇÃO-DE-DADOS_PRODUTIVIDADE'!H14</f>
        <v>1800</v>
      </c>
      <c r="E26" s="264" t="n">
        <f aca="false">C26/D26</f>
        <v>0.131961111111111</v>
      </c>
    </row>
    <row r="27" customFormat="false" ht="17.25" hidden="false" customHeight="false" outlineLevel="0" collapsed="false">
      <c r="B27" s="263" t="s">
        <v>151</v>
      </c>
      <c r="C27" s="264" t="n">
        <f aca="false">'INSERÇÃO-DE-DADOS_PRODUTIVIDADE'!D15</f>
        <v>358.43</v>
      </c>
      <c r="D27" s="268" t="n">
        <f aca="false">'CUSTO M² CG'!G43</f>
        <v>0.000311111111111111</v>
      </c>
      <c r="E27" s="264" t="n">
        <f aca="false">C27*D27</f>
        <v>0.111511555555556</v>
      </c>
    </row>
    <row r="28" customFormat="false" ht="17.25" hidden="false" customHeight="false" outlineLevel="0" collapsed="false">
      <c r="B28" s="263" t="s">
        <v>152</v>
      </c>
      <c r="C28" s="264" t="n">
        <f aca="false">'INSERÇÃO-DE-DADOS_PRODUTIVIDADE'!D16</f>
        <v>358.43</v>
      </c>
      <c r="D28" s="268" t="n">
        <f aca="false">'CUSTO M² CG'!G44</f>
        <v>0.000311111111111111</v>
      </c>
      <c r="E28" s="264" t="n">
        <f aca="false">C28*D28</f>
        <v>0.111511555555556</v>
      </c>
    </row>
    <row r="29" customFormat="false" ht="18.4" hidden="false" customHeight="true" outlineLevel="0" collapsed="false">
      <c r="B29" s="269" t="s">
        <v>462</v>
      </c>
      <c r="C29" s="269"/>
      <c r="D29" s="269"/>
      <c r="E29" s="274" t="n">
        <f aca="false">ROUNDDOWN(SUM(E21:E28),0)</f>
        <v>6</v>
      </c>
      <c r="F29" s="271"/>
      <c r="G29" s="271"/>
    </row>
    <row r="30" customFormat="false" ht="18.4" hidden="false" customHeight="true" outlineLevel="0" collapsed="false">
      <c r="B30" s="272" t="s">
        <v>460</v>
      </c>
      <c r="C30" s="272"/>
      <c r="D30" s="272"/>
      <c r="E30" s="273" t="n">
        <f aca="false">SUM(E21:E28)</f>
        <v>6.02087866666667</v>
      </c>
      <c r="F30" s="271"/>
    </row>
    <row r="31" customFormat="false" ht="15" hidden="false" customHeight="false" outlineLevel="0" collapsed="false">
      <c r="B31" s="275"/>
      <c r="C31" s="275"/>
      <c r="D31" s="275"/>
      <c r="E31" s="275"/>
    </row>
    <row r="32" customFormat="false" ht="17.1" hidden="false" customHeight="true" outlineLevel="0" collapsed="false">
      <c r="B32" s="261" t="s">
        <v>463</v>
      </c>
      <c r="C32" s="261"/>
      <c r="D32" s="261"/>
      <c r="E32" s="261"/>
    </row>
    <row r="33" customFormat="false" ht="15.6" hidden="false" customHeight="true" outlineLevel="0" collapsed="false">
      <c r="B33" s="230" t="s">
        <v>258</v>
      </c>
      <c r="C33" s="230" t="s">
        <v>287</v>
      </c>
      <c r="D33" s="262" t="s">
        <v>455</v>
      </c>
      <c r="E33" s="230" t="s">
        <v>456</v>
      </c>
    </row>
    <row r="34" customFormat="false" ht="15.6" hidden="false" customHeight="true" outlineLevel="0" collapsed="false">
      <c r="B34" s="230"/>
      <c r="C34" s="230"/>
      <c r="D34" s="262"/>
      <c r="E34" s="230"/>
    </row>
    <row r="35" customFormat="false" ht="86.25" hidden="false" customHeight="false" outlineLevel="0" collapsed="false">
      <c r="B35" s="230"/>
      <c r="C35" s="230" t="s">
        <v>135</v>
      </c>
      <c r="D35" s="230" t="s">
        <v>457</v>
      </c>
      <c r="E35" s="230" t="s">
        <v>458</v>
      </c>
    </row>
    <row r="36" customFormat="false" ht="21.2" hidden="false" customHeight="true" outlineLevel="0" collapsed="false">
      <c r="B36" s="263" t="s">
        <v>143</v>
      </c>
      <c r="C36" s="264" t="n">
        <f aca="false">'INSERÇÃO-DE-DADOS_PRODUTIVIDADE'!E9</f>
        <v>1052.84</v>
      </c>
      <c r="D36" s="265" t="n">
        <f aca="false">'INSERÇÃO-DE-DADOS_PRODUTIVIDADE'!I9</f>
        <v>800</v>
      </c>
      <c r="E36" s="265" t="n">
        <f aca="false">IFERROR(C36/D36,0)</f>
        <v>1.31605</v>
      </c>
    </row>
    <row r="37" customFormat="false" ht="21.2" hidden="false" customHeight="true" outlineLevel="0" collapsed="false">
      <c r="B37" s="263" t="s">
        <v>459</v>
      </c>
      <c r="C37" s="264" t="n">
        <f aca="false">'INSERÇÃO-DE-DADOS_PRODUTIVIDADE'!E10</f>
        <v>0</v>
      </c>
      <c r="D37" s="265" t="n">
        <f aca="false">'INSERÇÃO-DE-DADOS_PRODUTIVIDADE'!I10</f>
        <v>1500</v>
      </c>
      <c r="E37" s="265" t="n">
        <f aca="false">IFERROR(C37/D37,0)</f>
        <v>0</v>
      </c>
    </row>
    <row r="38" customFormat="false" ht="21.2" hidden="false" customHeight="true" outlineLevel="0" collapsed="false">
      <c r="B38" s="263" t="s">
        <v>145</v>
      </c>
      <c r="C38" s="264" t="n">
        <f aca="false">'INSERÇÃO-DE-DADOS_PRODUTIVIDADE'!E11</f>
        <v>75.87</v>
      </c>
      <c r="D38" s="265" t="n">
        <f aca="false">'INSERÇÃO-DE-DADOS_PRODUTIVIDADE'!I11</f>
        <v>200</v>
      </c>
      <c r="E38" s="265" t="n">
        <f aca="false">IFERROR(C38/D38,0)</f>
        <v>0.37935</v>
      </c>
    </row>
    <row r="39" customFormat="false" ht="21.2" hidden="false" customHeight="true" outlineLevel="0" collapsed="false">
      <c r="B39" s="263" t="s">
        <v>147</v>
      </c>
      <c r="C39" s="264" t="n">
        <f aca="false">'INSERÇÃO-DE-DADOS_PRODUTIVIDADE'!E12</f>
        <v>587.91</v>
      </c>
      <c r="D39" s="265" t="n">
        <f aca="false">'INSERÇÃO-DE-DADOS_PRODUTIVIDADE'!I12</f>
        <v>1800</v>
      </c>
      <c r="E39" s="265" t="n">
        <f aca="false">IFERROR(C39/D39,0)</f>
        <v>0.326616666666667</v>
      </c>
    </row>
    <row r="40" customFormat="false" ht="54.6" hidden="false" customHeight="true" outlineLevel="0" collapsed="false">
      <c r="B40" s="263" t="s">
        <v>148</v>
      </c>
      <c r="C40" s="264" t="n">
        <f aca="false">'INSERÇÃO-DE-DADOS_PRODUTIVIDADE'!E13</f>
        <v>1254.66</v>
      </c>
      <c r="D40" s="265" t="n">
        <f aca="false">'INSERÇÃO-DE-DADOS_PRODUTIVIDADE'!I13</f>
        <v>6000</v>
      </c>
      <c r="E40" s="265" t="n">
        <f aca="false">IFERROR(C40/D40,0)</f>
        <v>0.20911</v>
      </c>
    </row>
    <row r="41" customFormat="false" ht="21.2" hidden="false" customHeight="true" outlineLevel="0" collapsed="false">
      <c r="B41" s="263" t="s">
        <v>149</v>
      </c>
      <c r="C41" s="264" t="n">
        <f aca="false">'INSERÇÃO-DE-DADOS_PRODUTIVIDADE'!E14</f>
        <v>97.16</v>
      </c>
      <c r="D41" s="265" t="n">
        <f aca="false">'INSERÇÃO-DE-DADOS_PRODUTIVIDADE'!I14</f>
        <v>1800</v>
      </c>
      <c r="E41" s="265" t="n">
        <f aca="false">IFERROR(C41/D41,0)</f>
        <v>0.0539777777777778</v>
      </c>
    </row>
    <row r="42" customFormat="false" ht="21.2" hidden="false" customHeight="true" outlineLevel="0" collapsed="false">
      <c r="B42" s="263" t="s">
        <v>151</v>
      </c>
      <c r="C42" s="264" t="n">
        <f aca="false">'INSERÇÃO-DE-DADOS_PRODUTIVIDADE'!E15</f>
        <v>156.91</v>
      </c>
      <c r="D42" s="268" t="n">
        <f aca="false">'CUSTO M² DOU'!G29</f>
        <v>0.000311111111111111</v>
      </c>
      <c r="E42" s="265" t="n">
        <f aca="false">IFERROR((C42*D42),0)</f>
        <v>0.0488164444444444</v>
      </c>
      <c r="H42" s="267"/>
    </row>
    <row r="43" customFormat="false" ht="21.2" hidden="false" customHeight="true" outlineLevel="0" collapsed="false">
      <c r="B43" s="263" t="s">
        <v>152</v>
      </c>
      <c r="C43" s="264" t="n">
        <f aca="false">'INSERÇÃO-DE-DADOS_PRODUTIVIDADE'!E16</f>
        <v>156.91</v>
      </c>
      <c r="D43" s="268" t="n">
        <f aca="false">'CUSTO M² DOU'!G30</f>
        <v>0.000311111111111111</v>
      </c>
      <c r="E43" s="265" t="n">
        <f aca="false">IFERROR((C43*D43),0)</f>
        <v>0.0488164444444444</v>
      </c>
    </row>
    <row r="44" customFormat="false" ht="18.4" hidden="false" customHeight="true" outlineLevel="0" collapsed="false">
      <c r="B44" s="269" t="s">
        <v>462</v>
      </c>
      <c r="C44" s="269"/>
      <c r="D44" s="269"/>
      <c r="E44" s="274" t="n">
        <f aca="false">TRUNC(SUM(E36:E43),0)</f>
        <v>2</v>
      </c>
    </row>
    <row r="45" customFormat="false" ht="18.4" hidden="false" customHeight="true" outlineLevel="0" collapsed="false">
      <c r="B45" s="272" t="s">
        <v>460</v>
      </c>
      <c r="C45" s="272"/>
      <c r="D45" s="272"/>
      <c r="E45" s="273" t="n">
        <f aca="false">SUM(E36:E43)</f>
        <v>2.38273733333333</v>
      </c>
    </row>
    <row r="46" customFormat="false" ht="15" hidden="false" customHeight="false" outlineLevel="0" collapsed="false">
      <c r="B46" s="275"/>
      <c r="C46" s="275"/>
      <c r="D46" s="275"/>
      <c r="E46" s="275"/>
    </row>
    <row r="47" customFormat="false" ht="17.1" hidden="false" customHeight="true" outlineLevel="0" collapsed="false">
      <c r="B47" s="261" t="s">
        <v>464</v>
      </c>
      <c r="C47" s="261"/>
      <c r="D47" s="261"/>
      <c r="E47" s="261"/>
    </row>
    <row r="48" customFormat="false" ht="12.75" hidden="false" customHeight="true" outlineLevel="0" collapsed="false">
      <c r="B48" s="230" t="s">
        <v>258</v>
      </c>
      <c r="C48" s="230" t="s">
        <v>287</v>
      </c>
      <c r="D48" s="262" t="s">
        <v>455</v>
      </c>
      <c r="E48" s="230" t="s">
        <v>456</v>
      </c>
    </row>
    <row r="49" customFormat="false" ht="12.75" hidden="false" customHeight="false" outlineLevel="0" collapsed="false">
      <c r="B49" s="230"/>
      <c r="C49" s="230"/>
      <c r="D49" s="262"/>
      <c r="E49" s="230"/>
    </row>
    <row r="50" customFormat="false" ht="86.25" hidden="false" customHeight="false" outlineLevel="0" collapsed="false">
      <c r="B50" s="230"/>
      <c r="C50" s="230" t="s">
        <v>135</v>
      </c>
      <c r="D50" s="230" t="s">
        <v>457</v>
      </c>
      <c r="E50" s="230" t="s">
        <v>458</v>
      </c>
    </row>
    <row r="51" customFormat="false" ht="18.4" hidden="false" customHeight="true" outlineLevel="0" collapsed="false">
      <c r="B51" s="263" t="s">
        <v>142</v>
      </c>
      <c r="C51" s="263"/>
      <c r="D51" s="263"/>
      <c r="E51" s="263"/>
    </row>
    <row r="52" customFormat="false" ht="17.25" hidden="false" customHeight="false" outlineLevel="0" collapsed="false">
      <c r="B52" s="263" t="s">
        <v>143</v>
      </c>
      <c r="C52" s="264" t="n">
        <f aca="false">'INSERÇÃO-DE-DADOS_PRODUTIVIDADE'!F9</f>
        <v>411.17</v>
      </c>
      <c r="D52" s="265" t="n">
        <f aca="false">'INSERÇÃO-DE-DADOS_PRODUTIVIDADE'!J9</f>
        <v>800</v>
      </c>
      <c r="E52" s="265" t="n">
        <f aca="false">IFERROR(C52/D52,0)</f>
        <v>0.5139625</v>
      </c>
    </row>
    <row r="53" customFormat="false" ht="17.25" hidden="false" customHeight="false" outlineLevel="0" collapsed="false">
      <c r="B53" s="263" t="s">
        <v>459</v>
      </c>
      <c r="C53" s="264" t="n">
        <f aca="false">'INSERÇÃO-DE-DADOS_PRODUTIVIDADE'!F10</f>
        <v>0</v>
      </c>
      <c r="D53" s="265" t="n">
        <f aca="false">'INSERÇÃO-DE-DADOS_PRODUTIVIDADE'!J10</f>
        <v>1500</v>
      </c>
      <c r="E53" s="265" t="n">
        <f aca="false">IFERROR(C53/D53,0)</f>
        <v>0</v>
      </c>
    </row>
    <row r="54" customFormat="false" ht="17.25" hidden="false" customHeight="false" outlineLevel="0" collapsed="false">
      <c r="B54" s="263" t="s">
        <v>145</v>
      </c>
      <c r="C54" s="264" t="n">
        <f aca="false">'INSERÇÃO-DE-DADOS_PRODUTIVIDADE'!F11</f>
        <v>23.09</v>
      </c>
      <c r="D54" s="265" t="n">
        <f aca="false">'INSERÇÃO-DE-DADOS_PRODUTIVIDADE'!J11</f>
        <v>200</v>
      </c>
      <c r="E54" s="265" t="n">
        <f aca="false">IFERROR(C54/D54,0)</f>
        <v>0.11545</v>
      </c>
    </row>
    <row r="55" customFormat="false" ht="17.25" hidden="false" customHeight="false" outlineLevel="0" collapsed="false">
      <c r="B55" s="263" t="s">
        <v>147</v>
      </c>
      <c r="C55" s="264" t="n">
        <f aca="false">'INSERÇÃO-DE-DADOS_PRODUTIVIDADE'!F12</f>
        <v>296.19</v>
      </c>
      <c r="D55" s="265" t="n">
        <f aca="false">'INSERÇÃO-DE-DADOS_PRODUTIVIDADE'!J12</f>
        <v>1800</v>
      </c>
      <c r="E55" s="265" t="n">
        <f aca="false">IFERROR(C55/D55,0)</f>
        <v>0.16455</v>
      </c>
    </row>
    <row r="56" customFormat="false" ht="51.75" hidden="false" customHeight="false" outlineLevel="0" collapsed="false">
      <c r="B56" s="263" t="s">
        <v>148</v>
      </c>
      <c r="C56" s="264" t="n">
        <f aca="false">'INSERÇÃO-DE-DADOS_PRODUTIVIDADE'!F13</f>
        <v>279.4</v>
      </c>
      <c r="D56" s="265" t="n">
        <f aca="false">'INSERÇÃO-DE-DADOS_PRODUTIVIDADE'!J13</f>
        <v>6000</v>
      </c>
      <c r="E56" s="265" t="n">
        <f aca="false">IFERROR(C56/D56,0)</f>
        <v>0.0465666666666667</v>
      </c>
    </row>
    <row r="57" customFormat="false" ht="17.25" hidden="false" customHeight="false" outlineLevel="0" collapsed="false">
      <c r="B57" s="263" t="s">
        <v>149</v>
      </c>
      <c r="C57" s="264" t="n">
        <f aca="false">'INSERÇÃO-DE-DADOS_PRODUTIVIDADE'!F14</f>
        <v>220.6</v>
      </c>
      <c r="D57" s="265" t="n">
        <f aca="false">'INSERÇÃO-DE-DADOS_PRODUTIVIDADE'!J14</f>
        <v>1800</v>
      </c>
      <c r="E57" s="265" t="n">
        <f aca="false">IFERROR(C57/D57,0)</f>
        <v>0.122555555555556</v>
      </c>
    </row>
    <row r="58" customFormat="false" ht="17.25" hidden="false" customHeight="false" outlineLevel="0" collapsed="false">
      <c r="B58" s="263" t="s">
        <v>151</v>
      </c>
      <c r="C58" s="264" t="n">
        <f aca="false">'INSERÇÃO-DE-DADOS_PRODUTIVIDADE'!F15</f>
        <v>72.68</v>
      </c>
      <c r="D58" s="268" t="n">
        <f aca="false">'CUSTO M² TL'!G29</f>
        <v>0.000311111111111111</v>
      </c>
      <c r="E58" s="265" t="n">
        <f aca="false">IFERROR((C58*D58),0)</f>
        <v>0.0226115555555555</v>
      </c>
    </row>
    <row r="59" customFormat="false" ht="17.25" hidden="false" customHeight="false" outlineLevel="0" collapsed="false">
      <c r="B59" s="263" t="s">
        <v>152</v>
      </c>
      <c r="C59" s="264" t="n">
        <f aca="false">'INSERÇÃO-DE-DADOS_PRODUTIVIDADE'!F16</f>
        <v>72.68</v>
      </c>
      <c r="D59" s="268" t="n">
        <f aca="false">'CUSTO M² TL'!G30</f>
        <v>0.000311111111111111</v>
      </c>
      <c r="E59" s="265" t="n">
        <f aca="false">IFERROR((C59*D59),0)</f>
        <v>0.0226115555555556</v>
      </c>
    </row>
    <row r="60" customFormat="false" ht="18.4" hidden="false" customHeight="true" outlineLevel="0" collapsed="false">
      <c r="B60" s="269" t="s">
        <v>462</v>
      </c>
      <c r="C60" s="269"/>
      <c r="D60" s="269"/>
      <c r="E60" s="274" t="n">
        <f aca="false">TRUNC(SUM(E52:E59),0)</f>
        <v>1</v>
      </c>
    </row>
    <row r="61" customFormat="false" ht="18.4" hidden="false" customHeight="true" outlineLevel="0" collapsed="false">
      <c r="B61" s="272" t="s">
        <v>460</v>
      </c>
      <c r="C61" s="272"/>
      <c r="D61" s="272"/>
      <c r="E61" s="273" t="n">
        <f aca="false">SUM(E52:E59)</f>
        <v>1.00830783333333</v>
      </c>
    </row>
    <row r="63" customFormat="false" ht="17.1" hidden="false" customHeight="true" outlineLevel="0" collapsed="false">
      <c r="B63" s="261" t="s">
        <v>465</v>
      </c>
      <c r="C63" s="261"/>
      <c r="D63" s="261"/>
      <c r="E63" s="261"/>
    </row>
    <row r="64" customFormat="false" ht="12.75" hidden="false" customHeight="true" outlineLevel="0" collapsed="false">
      <c r="B64" s="230" t="s">
        <v>258</v>
      </c>
      <c r="C64" s="230" t="s">
        <v>287</v>
      </c>
      <c r="D64" s="262" t="s">
        <v>455</v>
      </c>
      <c r="E64" s="230" t="s">
        <v>456</v>
      </c>
    </row>
    <row r="65" customFormat="false" ht="12.75" hidden="false" customHeight="false" outlineLevel="0" collapsed="false">
      <c r="B65" s="230"/>
      <c r="C65" s="230"/>
      <c r="D65" s="262"/>
      <c r="E65" s="230"/>
    </row>
    <row r="66" customFormat="false" ht="86.25" hidden="false" customHeight="false" outlineLevel="0" collapsed="false">
      <c r="B66" s="230"/>
      <c r="C66" s="230" t="s">
        <v>135</v>
      </c>
      <c r="D66" s="230" t="s">
        <v>457</v>
      </c>
      <c r="E66" s="230" t="s">
        <v>458</v>
      </c>
    </row>
    <row r="67" customFormat="false" ht="17.25" hidden="false" customHeight="false" outlineLevel="0" collapsed="false">
      <c r="B67" s="263" t="s">
        <v>143</v>
      </c>
      <c r="C67" s="264" t="n">
        <f aca="false">'INSERÇÃO-DE-DADOS_PRODUTIVIDADE'!G9</f>
        <v>428.93</v>
      </c>
      <c r="D67" s="265" t="n">
        <f aca="false">'INSERÇÃO-DE-DADOS_PRODUTIVIDADE'!K9</f>
        <v>800</v>
      </c>
      <c r="E67" s="265" t="n">
        <f aca="false">IFERROR(C67/D67,0)</f>
        <v>0.5361625</v>
      </c>
    </row>
    <row r="68" customFormat="false" ht="17.25" hidden="false" customHeight="false" outlineLevel="0" collapsed="false">
      <c r="B68" s="263" t="s">
        <v>459</v>
      </c>
      <c r="C68" s="264" t="n">
        <f aca="false">'INSERÇÃO-DE-DADOS_PRODUTIVIDADE'!G10</f>
        <v>0</v>
      </c>
      <c r="D68" s="265" t="n">
        <f aca="false">'INSERÇÃO-DE-DADOS_PRODUTIVIDADE'!K10</f>
        <v>1500</v>
      </c>
      <c r="E68" s="265" t="n">
        <f aca="false">IFERROR(C68/D68,0)</f>
        <v>0</v>
      </c>
    </row>
    <row r="69" customFormat="false" ht="17.25" hidden="false" customHeight="false" outlineLevel="0" collapsed="false">
      <c r="B69" s="263" t="s">
        <v>145</v>
      </c>
      <c r="C69" s="264" t="n">
        <f aca="false">'INSERÇÃO-DE-DADOS_PRODUTIVIDADE'!G11</f>
        <v>32.38</v>
      </c>
      <c r="D69" s="265" t="n">
        <f aca="false">'INSERÇÃO-DE-DADOS_PRODUTIVIDADE'!K11</f>
        <v>200</v>
      </c>
      <c r="E69" s="265" t="n">
        <f aca="false">IFERROR(C69/D69,0)</f>
        <v>0.1619</v>
      </c>
    </row>
    <row r="70" customFormat="false" ht="17.25" hidden="false" customHeight="false" outlineLevel="0" collapsed="false">
      <c r="B70" s="263" t="s">
        <v>147</v>
      </c>
      <c r="C70" s="264" t="n">
        <f aca="false">'INSERÇÃO-DE-DADOS_PRODUTIVIDADE'!G12</f>
        <v>401.47</v>
      </c>
      <c r="D70" s="265" t="n">
        <f aca="false">'INSERÇÃO-DE-DADOS_PRODUTIVIDADE'!K12</f>
        <v>1800</v>
      </c>
      <c r="E70" s="265" t="n">
        <f aca="false">IFERROR(C70/D70,0)</f>
        <v>0.223038888888889</v>
      </c>
    </row>
    <row r="71" customFormat="false" ht="51.75" hidden="false" customHeight="false" outlineLevel="0" collapsed="false">
      <c r="B71" s="263" t="s">
        <v>148</v>
      </c>
      <c r="C71" s="264" t="n">
        <f aca="false">'INSERÇÃO-DE-DADOS_PRODUTIVIDADE'!G13</f>
        <v>564.23</v>
      </c>
      <c r="D71" s="265" t="n">
        <f aca="false">'INSERÇÃO-DE-DADOS_PRODUTIVIDADE'!K13</f>
        <v>6000</v>
      </c>
      <c r="E71" s="265" t="n">
        <f aca="false">IFERROR(C71/D71,0)</f>
        <v>0.0940383333333333</v>
      </c>
    </row>
    <row r="72" customFormat="false" ht="17.25" hidden="false" customHeight="false" outlineLevel="0" collapsed="false">
      <c r="B72" s="263" t="s">
        <v>149</v>
      </c>
      <c r="C72" s="264" t="n">
        <f aca="false">'INSERÇÃO-DE-DADOS_PRODUTIVIDADE'!G14</f>
        <v>131.69</v>
      </c>
      <c r="D72" s="265" t="n">
        <f aca="false">'INSERÇÃO-DE-DADOS_PRODUTIVIDADE'!K14</f>
        <v>1800</v>
      </c>
      <c r="E72" s="265" t="n">
        <f aca="false">IFERROR(C72/D72,0)</f>
        <v>0.0731611111111111</v>
      </c>
    </row>
    <row r="73" customFormat="false" ht="17.25" hidden="false" customHeight="false" outlineLevel="0" collapsed="false">
      <c r="B73" s="263" t="s">
        <v>151</v>
      </c>
      <c r="C73" s="264" t="n">
        <f aca="false">'INSERÇÃO-DE-DADOS_PRODUTIVIDADE'!G15</f>
        <v>49.71</v>
      </c>
      <c r="D73" s="268" t="n">
        <f aca="false">'CUSTO M² COR'!G29</f>
        <v>0.000311111111111111</v>
      </c>
      <c r="E73" s="265" t="n">
        <f aca="false">IFERROR((C73*D73),0)</f>
        <v>0.0154653333333333</v>
      </c>
    </row>
    <row r="74" customFormat="false" ht="17.25" hidden="false" customHeight="false" outlineLevel="0" collapsed="false">
      <c r="B74" s="263" t="s">
        <v>152</v>
      </c>
      <c r="C74" s="264" t="n">
        <f aca="false">'INSERÇÃO-DE-DADOS_PRODUTIVIDADE'!G16</f>
        <v>49.71</v>
      </c>
      <c r="D74" s="268" t="n">
        <f aca="false">'CUSTO M² COR'!G30</f>
        <v>0.000311111111111111</v>
      </c>
      <c r="E74" s="265" t="n">
        <f aca="false">IFERROR((C74*D74),0)</f>
        <v>0.0154653333333333</v>
      </c>
    </row>
    <row r="75" customFormat="false" ht="18.4" hidden="false" customHeight="true" outlineLevel="0" collapsed="false">
      <c r="B75" s="269" t="s">
        <v>462</v>
      </c>
      <c r="C75" s="269"/>
      <c r="D75" s="269"/>
      <c r="E75" s="274" t="n">
        <f aca="false">TRUNC(SUM(E67:E74),0)</f>
        <v>1</v>
      </c>
    </row>
    <row r="76" customFormat="false" ht="17.25" hidden="false" customHeight="true" outlineLevel="0" collapsed="false">
      <c r="B76" s="272" t="s">
        <v>460</v>
      </c>
      <c r="C76" s="272"/>
      <c r="D76" s="272"/>
      <c r="E76" s="273" t="n">
        <f aca="false">SUM(E67:E74)</f>
        <v>1.1192315</v>
      </c>
    </row>
    <row r="79" customFormat="false" ht="48.6" hidden="false" customHeight="true" outlineLevel="0" collapsed="false">
      <c r="B79" s="261" t="s">
        <v>466</v>
      </c>
      <c r="C79" s="261"/>
    </row>
    <row r="80" customFormat="false" ht="20.1" hidden="false" customHeight="true" outlineLevel="0" collapsed="false">
      <c r="B80" s="276" t="s">
        <v>467</v>
      </c>
      <c r="C80" s="276"/>
    </row>
    <row r="81" customFormat="false" ht="15.6" hidden="false" customHeight="true" outlineLevel="0" collapsed="false">
      <c r="B81" s="230" t="s">
        <v>468</v>
      </c>
      <c r="C81" s="230" t="s">
        <v>456</v>
      </c>
    </row>
    <row r="82" customFormat="false" ht="15.6" hidden="false" customHeight="true" outlineLevel="0" collapsed="false">
      <c r="B82" s="230"/>
      <c r="C82" s="230"/>
    </row>
    <row r="83" customFormat="false" ht="35.85" hidden="false" customHeight="true" outlineLevel="0" collapsed="false">
      <c r="B83" s="263" t="s">
        <v>107</v>
      </c>
      <c r="C83" s="264" t="n">
        <f aca="false">E29</f>
        <v>6</v>
      </c>
    </row>
    <row r="84" customFormat="false" ht="20.1" hidden="false" customHeight="true" outlineLevel="0" collapsed="false">
      <c r="B84" s="263" t="s">
        <v>108</v>
      </c>
      <c r="C84" s="264" t="n">
        <f aca="false">E44</f>
        <v>2</v>
      </c>
    </row>
    <row r="85" customFormat="false" ht="20.1" hidden="false" customHeight="true" outlineLevel="0" collapsed="false">
      <c r="B85" s="263" t="s">
        <v>109</v>
      </c>
      <c r="C85" s="264" t="n">
        <f aca="false">E60</f>
        <v>1</v>
      </c>
    </row>
    <row r="86" customFormat="false" ht="20.1" hidden="false" customHeight="true" outlineLevel="0" collapsed="false">
      <c r="B86" s="263" t="s">
        <v>110</v>
      </c>
      <c r="C86" s="264" t="n">
        <f aca="false">E75</f>
        <v>1</v>
      </c>
    </row>
    <row r="87" customFormat="false" ht="51.6" hidden="false" customHeight="true" outlineLevel="0" collapsed="false">
      <c r="B87" s="277" t="s">
        <v>469</v>
      </c>
      <c r="C87" s="264" t="n">
        <f aca="false">SUM(C83:C86)</f>
        <v>10</v>
      </c>
    </row>
    <row r="89" customFormat="false" ht="20.1" hidden="false" customHeight="true" outlineLevel="0" collapsed="false">
      <c r="B89" s="276" t="s">
        <v>470</v>
      </c>
      <c r="C89" s="276"/>
    </row>
    <row r="90" customFormat="false" ht="15.6" hidden="false" customHeight="true" outlineLevel="0" collapsed="false">
      <c r="B90" s="230" t="s">
        <v>468</v>
      </c>
      <c r="C90" s="230" t="s">
        <v>456</v>
      </c>
    </row>
    <row r="91" customFormat="false" ht="15.6" hidden="false" customHeight="true" outlineLevel="0" collapsed="false">
      <c r="B91" s="230"/>
      <c r="C91" s="230"/>
    </row>
    <row r="92" customFormat="false" ht="86.25" hidden="false" customHeight="false" outlineLevel="0" collapsed="false">
      <c r="B92" s="277" t="s">
        <v>471</v>
      </c>
      <c r="C92" s="264" t="n">
        <f aca="false">E14</f>
        <v>1</v>
      </c>
    </row>
    <row r="94" customFormat="false" ht="53.25" hidden="false" customHeight="true" outlineLevel="0" collapsed="false">
      <c r="B94" s="278" t="s">
        <v>472</v>
      </c>
      <c r="C94" s="278"/>
      <c r="D94" s="278"/>
      <c r="E94" s="278"/>
    </row>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4">
    <mergeCell ref="B2:E2"/>
    <mergeCell ref="B3:B5"/>
    <mergeCell ref="C3:C4"/>
    <mergeCell ref="D3:D4"/>
    <mergeCell ref="E3:E4"/>
    <mergeCell ref="B14:D14"/>
    <mergeCell ref="B15:D15"/>
    <mergeCell ref="B17:E17"/>
    <mergeCell ref="B18:B20"/>
    <mergeCell ref="C18:C19"/>
    <mergeCell ref="D18:D19"/>
    <mergeCell ref="E18:E19"/>
    <mergeCell ref="B29:D29"/>
    <mergeCell ref="B30:D30"/>
    <mergeCell ref="B32:E32"/>
    <mergeCell ref="B33:B35"/>
    <mergeCell ref="C33:C34"/>
    <mergeCell ref="D33:D34"/>
    <mergeCell ref="E33:E34"/>
    <mergeCell ref="B44:D44"/>
    <mergeCell ref="B45:D45"/>
    <mergeCell ref="B47:E47"/>
    <mergeCell ref="B48:B50"/>
    <mergeCell ref="C48:C49"/>
    <mergeCell ref="D48:D49"/>
    <mergeCell ref="E48:E49"/>
    <mergeCell ref="B51:E51"/>
    <mergeCell ref="B60:D60"/>
    <mergeCell ref="B61:D61"/>
    <mergeCell ref="B63:E63"/>
    <mergeCell ref="B64:B66"/>
    <mergeCell ref="C64:C65"/>
    <mergeCell ref="D64:D65"/>
    <mergeCell ref="E64:E65"/>
    <mergeCell ref="B75:D75"/>
    <mergeCell ref="B76:D76"/>
    <mergeCell ref="B79:C79"/>
    <mergeCell ref="B80:C80"/>
    <mergeCell ref="B81:B82"/>
    <mergeCell ref="C81:C82"/>
    <mergeCell ref="B89:C89"/>
    <mergeCell ref="B90:B91"/>
    <mergeCell ref="C90:C91"/>
    <mergeCell ref="B94:E94"/>
  </mergeCells>
  <printOptions headings="false" gridLines="false" gridLinesSet="true" horizontalCentered="true" verticalCentered="false"/>
  <pageMargins left="0.511805555555555" right="0.511805555555555" top="0.354166666666667" bottom="0.78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J83"/>
  <sheetViews>
    <sheetView showFormulas="false" showGridLines="true" showRowColHeaders="true" showZeros="true" rightToLeft="false" tabSelected="false" showOutlineSymbols="true" defaultGridColor="true" view="normal" topLeftCell="F1" colorId="64" zoomScale="80" zoomScaleNormal="80" zoomScalePageLayoutView="100" workbookViewId="0">
      <selection pane="topLeft" activeCell="O10" activeCellId="0" sqref="O10"/>
    </sheetView>
  </sheetViews>
  <sheetFormatPr defaultRowHeight="13.8" zeroHeight="false" outlineLevelRow="0" outlineLevelCol="0"/>
  <cols>
    <col collapsed="false" customWidth="true" hidden="false" outlineLevel="0" max="1" min="1" style="1" width="2.71"/>
    <col collapsed="false" customWidth="true" hidden="false" outlineLevel="0" max="2" min="2" style="1" width="16.71"/>
    <col collapsed="false" customWidth="true" hidden="false" outlineLevel="0" max="3" min="3" style="1" width="15.88"/>
    <col collapsed="false" customWidth="true" hidden="false" outlineLevel="0" max="4" min="4" style="1" width="11.86"/>
    <col collapsed="false" customWidth="false" hidden="false" outlineLevel="0" max="5" min="5" style="1" width="11.57"/>
    <col collapsed="false" customWidth="true" hidden="false" outlineLevel="0" max="6" min="6" style="1" width="12.14"/>
    <col collapsed="false" customWidth="true" hidden="false" outlineLevel="0" max="7" min="7" style="1" width="13.02"/>
    <col collapsed="false" customWidth="true" hidden="false" outlineLevel="0" max="12" min="8" style="1" width="12.57"/>
    <col collapsed="false" customWidth="true" hidden="false" outlineLevel="0" max="1018" min="13" style="1" width="9.13"/>
    <col collapsed="false" customWidth="false" hidden="false" outlineLevel="0" max="1020" min="1019" style="0" width="11.57"/>
    <col collapsed="false" customWidth="false" hidden="false" outlineLevel="0" max="1025" min="1021" style="0" width="11.52"/>
  </cols>
  <sheetData>
    <row r="1" customFormat="false" ht="20.25" hidden="false" customHeight="true" outlineLevel="0" collapsed="false">
      <c r="B1" s="93"/>
      <c r="C1" s="93"/>
      <c r="D1" s="93"/>
      <c r="E1" s="93"/>
      <c r="F1" s="93"/>
      <c r="G1" s="93"/>
      <c r="H1" s="93"/>
      <c r="I1" s="93"/>
      <c r="J1" s="93"/>
      <c r="K1" s="93"/>
      <c r="L1" s="93"/>
    </row>
    <row r="2" customFormat="false" ht="50.35" hidden="false" customHeight="true" outlineLevel="0" collapsed="false">
      <c r="B2" s="93" t="s">
        <v>122</v>
      </c>
      <c r="C2" s="93"/>
      <c r="D2" s="93"/>
      <c r="E2" s="93"/>
      <c r="F2" s="93"/>
      <c r="G2" s="93"/>
      <c r="H2" s="93"/>
      <c r="I2" s="93"/>
      <c r="J2" s="93"/>
      <c r="K2" s="93"/>
      <c r="L2" s="93"/>
    </row>
    <row r="3" customFormat="false" ht="22.05" hidden="false" customHeight="false" outlineLevel="0" collapsed="false">
      <c r="B3" s="93"/>
      <c r="C3" s="93"/>
      <c r="D3" s="93"/>
      <c r="E3" s="93"/>
      <c r="F3" s="93"/>
      <c r="G3" s="93"/>
      <c r="H3" s="93"/>
      <c r="I3" s="93"/>
      <c r="J3" s="93"/>
      <c r="K3" s="93"/>
      <c r="L3" s="93"/>
    </row>
    <row r="4" s="3" customFormat="true" ht="23.45" hidden="false" customHeight="true" outlineLevel="0" collapsed="false">
      <c r="B4" s="94"/>
      <c r="C4" s="94"/>
      <c r="D4" s="94"/>
      <c r="E4" s="94"/>
      <c r="F4" s="94"/>
      <c r="G4" s="94"/>
      <c r="H4" s="94"/>
      <c r="I4" s="94"/>
      <c r="J4" s="94"/>
      <c r="K4" s="94"/>
      <c r="L4" s="95"/>
      <c r="AMG4" s="0"/>
      <c r="AMH4" s="0"/>
      <c r="AMI4" s="0"/>
      <c r="AMJ4" s="0"/>
    </row>
    <row r="5" s="3" customFormat="true" ht="39.2" hidden="false" customHeight="true" outlineLevel="0" collapsed="false">
      <c r="B5" s="96" t="s">
        <v>123</v>
      </c>
      <c r="C5" s="96"/>
      <c r="D5" s="96"/>
      <c r="E5" s="96"/>
      <c r="F5" s="96"/>
      <c r="G5" s="96"/>
      <c r="H5" s="96" t="s">
        <v>124</v>
      </c>
      <c r="I5" s="96"/>
      <c r="J5" s="96"/>
      <c r="K5" s="96"/>
      <c r="L5" s="96"/>
      <c r="N5" s="17" t="s">
        <v>125</v>
      </c>
      <c r="O5" s="17"/>
      <c r="P5" s="17"/>
      <c r="Q5" s="17"/>
      <c r="R5" s="17"/>
      <c r="S5" s="17"/>
      <c r="T5" s="17"/>
      <c r="U5" s="17"/>
      <c r="V5" s="17"/>
      <c r="W5" s="17"/>
      <c r="AMG5" s="0"/>
      <c r="AMH5" s="0"/>
      <c r="AMI5" s="0"/>
      <c r="AMJ5" s="0"/>
    </row>
    <row r="6" s="3" customFormat="true" ht="21.4" hidden="false" customHeight="true" outlineLevel="0" collapsed="false">
      <c r="B6" s="49" t="s">
        <v>126</v>
      </c>
      <c r="C6" s="49" t="s">
        <v>127</v>
      </c>
      <c r="D6" s="96" t="s">
        <v>128</v>
      </c>
      <c r="E6" s="96" t="s">
        <v>108</v>
      </c>
      <c r="F6" s="96" t="s">
        <v>109</v>
      </c>
      <c r="G6" s="96" t="s">
        <v>110</v>
      </c>
      <c r="H6" s="96" t="s">
        <v>129</v>
      </c>
      <c r="I6" s="96" t="s">
        <v>130</v>
      </c>
      <c r="J6" s="96" t="s">
        <v>131</v>
      </c>
      <c r="K6" s="96" t="s">
        <v>132</v>
      </c>
      <c r="L6" s="96" t="s">
        <v>133</v>
      </c>
      <c r="AMG6" s="0"/>
      <c r="AMH6" s="0"/>
      <c r="AMI6" s="0"/>
      <c r="AMJ6" s="0"/>
    </row>
    <row r="7" s="3" customFormat="true" ht="53.25" hidden="false" customHeight="true" outlineLevel="0" collapsed="false">
      <c r="B7" s="49"/>
      <c r="C7" s="49"/>
      <c r="D7" s="96"/>
      <c r="E7" s="96"/>
      <c r="F7" s="96"/>
      <c r="G7" s="96"/>
      <c r="H7" s="96"/>
      <c r="I7" s="96"/>
      <c r="J7" s="96"/>
      <c r="K7" s="96"/>
      <c r="L7" s="96"/>
      <c r="AMG7" s="0"/>
      <c r="AMH7" s="0"/>
      <c r="AMI7" s="0"/>
      <c r="AMJ7" s="0"/>
    </row>
    <row r="8" s="3" customFormat="true" ht="23.45" hidden="false" customHeight="true" outlineLevel="0" collapsed="false">
      <c r="B8" s="49"/>
      <c r="C8" s="49"/>
      <c r="D8" s="96" t="s">
        <v>134</v>
      </c>
      <c r="E8" s="96" t="s">
        <v>135</v>
      </c>
      <c r="F8" s="96" t="s">
        <v>136</v>
      </c>
      <c r="G8" s="96" t="s">
        <v>137</v>
      </c>
      <c r="H8" s="96" t="s">
        <v>138</v>
      </c>
      <c r="I8" s="96" t="s">
        <v>139</v>
      </c>
      <c r="J8" s="96" t="s">
        <v>140</v>
      </c>
      <c r="K8" s="96" t="s">
        <v>141</v>
      </c>
      <c r="L8" s="96"/>
      <c r="AMG8" s="0"/>
      <c r="AMH8" s="0"/>
      <c r="AMI8" s="0"/>
      <c r="AMJ8" s="0"/>
    </row>
    <row r="9" s="13" customFormat="true" ht="22.35" hidden="false" customHeight="true" outlineLevel="0" collapsed="false">
      <c r="B9" s="97" t="s">
        <v>142</v>
      </c>
      <c r="C9" s="97" t="s">
        <v>143</v>
      </c>
      <c r="D9" s="98" t="n">
        <v>3593.54</v>
      </c>
      <c r="E9" s="99" t="n">
        <v>1052.84</v>
      </c>
      <c r="F9" s="99" t="n">
        <v>411.17</v>
      </c>
      <c r="G9" s="99" t="n">
        <v>428.93</v>
      </c>
      <c r="H9" s="100" t="n">
        <v>800</v>
      </c>
      <c r="I9" s="100" t="n">
        <v>800</v>
      </c>
      <c r="J9" s="100" t="n">
        <v>800</v>
      </c>
      <c r="K9" s="100" t="n">
        <v>800</v>
      </c>
      <c r="L9" s="21"/>
      <c r="AMG9" s="0"/>
      <c r="AMH9" s="0"/>
      <c r="AMI9" s="0"/>
      <c r="AMJ9" s="0"/>
    </row>
    <row r="10" s="13" customFormat="true" ht="22.35" hidden="false" customHeight="true" outlineLevel="0" collapsed="false">
      <c r="B10" s="97"/>
      <c r="C10" s="97" t="s">
        <v>144</v>
      </c>
      <c r="D10" s="98" t="n">
        <v>37.06</v>
      </c>
      <c r="E10" s="99" t="n">
        <v>0</v>
      </c>
      <c r="F10" s="99" t="n">
        <v>0</v>
      </c>
      <c r="G10" s="99" t="n">
        <v>0</v>
      </c>
      <c r="H10" s="100" t="n">
        <v>1500</v>
      </c>
      <c r="I10" s="100" t="n">
        <v>1500</v>
      </c>
      <c r="J10" s="100" t="n">
        <v>1500</v>
      </c>
      <c r="K10" s="100" t="n">
        <v>1500</v>
      </c>
      <c r="L10" s="21"/>
      <c r="AMG10" s="0"/>
      <c r="AMH10" s="0"/>
      <c r="AMI10" s="0"/>
      <c r="AMJ10" s="0"/>
    </row>
    <row r="11" s="13" customFormat="true" ht="22.35" hidden="false" customHeight="true" outlineLevel="0" collapsed="false">
      <c r="B11" s="97"/>
      <c r="C11" s="97" t="s">
        <v>145</v>
      </c>
      <c r="D11" s="98" t="n">
        <v>116.45</v>
      </c>
      <c r="E11" s="99" t="n">
        <v>75.87</v>
      </c>
      <c r="F11" s="99" t="n">
        <v>23.09</v>
      </c>
      <c r="G11" s="99" t="n">
        <v>32.38</v>
      </c>
      <c r="H11" s="100" t="n">
        <v>200</v>
      </c>
      <c r="I11" s="100" t="n">
        <v>200</v>
      </c>
      <c r="J11" s="100" t="n">
        <v>200</v>
      </c>
      <c r="K11" s="100" t="n">
        <v>200</v>
      </c>
      <c r="L11" s="21"/>
      <c r="AMG11" s="0"/>
      <c r="AMH11" s="0"/>
      <c r="AMI11" s="0"/>
      <c r="AMJ11" s="0"/>
    </row>
    <row r="12" s="13" customFormat="true" ht="22.35" hidden="false" customHeight="true" outlineLevel="0" collapsed="false">
      <c r="B12" s="97" t="s">
        <v>146</v>
      </c>
      <c r="C12" s="97" t="s">
        <v>147</v>
      </c>
      <c r="D12" s="98" t="n">
        <v>176.15</v>
      </c>
      <c r="E12" s="99" t="n">
        <v>587.91</v>
      </c>
      <c r="F12" s="99" t="n">
        <v>296.19</v>
      </c>
      <c r="G12" s="99" t="n">
        <v>401.47</v>
      </c>
      <c r="H12" s="100" t="n">
        <v>1800</v>
      </c>
      <c r="I12" s="100" t="n">
        <v>1800</v>
      </c>
      <c r="J12" s="100" t="n">
        <v>1800</v>
      </c>
      <c r="K12" s="100" t="n">
        <v>1800</v>
      </c>
      <c r="L12" s="21"/>
      <c r="AMG12" s="0"/>
      <c r="AMH12" s="0"/>
      <c r="AMI12" s="0"/>
      <c r="AMJ12" s="0"/>
    </row>
    <row r="13" s="13" customFormat="true" ht="69.75" hidden="false" customHeight="true" outlineLevel="0" collapsed="false">
      <c r="B13" s="97"/>
      <c r="C13" s="101" t="s">
        <v>148</v>
      </c>
      <c r="D13" s="98" t="n">
        <v>2814.91</v>
      </c>
      <c r="E13" s="99" t="n">
        <v>1254.66</v>
      </c>
      <c r="F13" s="99" t="n">
        <v>279.4</v>
      </c>
      <c r="G13" s="99" t="n">
        <v>564.23</v>
      </c>
      <c r="H13" s="100" t="n">
        <v>6000</v>
      </c>
      <c r="I13" s="100" t="n">
        <v>6000</v>
      </c>
      <c r="J13" s="100" t="n">
        <v>6000</v>
      </c>
      <c r="K13" s="100" t="n">
        <v>6000</v>
      </c>
      <c r="L13" s="21"/>
      <c r="AMG13" s="0"/>
      <c r="AMH13" s="0"/>
      <c r="AMI13" s="0"/>
      <c r="AMJ13" s="0"/>
    </row>
    <row r="14" s="13" customFormat="true" ht="22.35" hidden="false" customHeight="true" outlineLevel="0" collapsed="false">
      <c r="B14" s="97"/>
      <c r="C14" s="97" t="s">
        <v>149</v>
      </c>
      <c r="D14" s="98" t="n">
        <v>237.53</v>
      </c>
      <c r="E14" s="99" t="n">
        <v>97.16</v>
      </c>
      <c r="F14" s="99" t="n">
        <v>220.6</v>
      </c>
      <c r="G14" s="99" t="n">
        <v>131.69</v>
      </c>
      <c r="H14" s="100" t="n">
        <v>1800</v>
      </c>
      <c r="I14" s="100" t="n">
        <v>1800</v>
      </c>
      <c r="J14" s="100" t="n">
        <v>1800</v>
      </c>
      <c r="K14" s="100" t="n">
        <v>1800</v>
      </c>
      <c r="L14" s="21"/>
      <c r="AMG14" s="0"/>
      <c r="AMH14" s="0"/>
      <c r="AMI14" s="0"/>
      <c r="AMJ14" s="0"/>
    </row>
    <row r="15" s="3" customFormat="true" ht="22.35" hidden="false" customHeight="true" outlineLevel="0" collapsed="false">
      <c r="B15" s="97" t="s">
        <v>150</v>
      </c>
      <c r="C15" s="97" t="s">
        <v>151</v>
      </c>
      <c r="D15" s="98" t="n">
        <v>358.43</v>
      </c>
      <c r="E15" s="99" t="n">
        <v>156.91</v>
      </c>
      <c r="F15" s="99" t="n">
        <v>72.68</v>
      </c>
      <c r="G15" s="99" t="n">
        <v>49.71</v>
      </c>
      <c r="H15" s="100" t="n">
        <v>300</v>
      </c>
      <c r="I15" s="100" t="n">
        <v>300</v>
      </c>
      <c r="J15" s="100" t="n">
        <v>300</v>
      </c>
      <c r="K15" s="100" t="n">
        <v>300</v>
      </c>
      <c r="L15" s="24" t="n">
        <v>16</v>
      </c>
      <c r="AMG15" s="0"/>
      <c r="AMH15" s="0"/>
      <c r="AMI15" s="0"/>
      <c r="AMJ15" s="0"/>
    </row>
    <row r="16" s="3" customFormat="true" ht="22.35" hidden="false" customHeight="true" outlineLevel="0" collapsed="false">
      <c r="B16" s="97"/>
      <c r="C16" s="97" t="s">
        <v>152</v>
      </c>
      <c r="D16" s="98" t="n">
        <v>358.43</v>
      </c>
      <c r="E16" s="99" t="n">
        <v>156.91</v>
      </c>
      <c r="F16" s="99" t="n">
        <v>72.68</v>
      </c>
      <c r="G16" s="99" t="n">
        <v>49.71</v>
      </c>
      <c r="H16" s="100" t="n">
        <v>300</v>
      </c>
      <c r="I16" s="100" t="n">
        <v>300</v>
      </c>
      <c r="J16" s="100" t="n">
        <v>300</v>
      </c>
      <c r="K16" s="100" t="n">
        <v>300</v>
      </c>
      <c r="L16" s="24" t="n">
        <v>16</v>
      </c>
      <c r="AMG16" s="0"/>
      <c r="AMH16" s="0"/>
      <c r="AMI16" s="0"/>
      <c r="AMJ16" s="0"/>
    </row>
    <row r="17" s="3" customFormat="true" ht="23.45" hidden="false" customHeight="true" outlineLevel="0" collapsed="false">
      <c r="B17" s="102" t="s">
        <v>153</v>
      </c>
      <c r="C17" s="102"/>
      <c r="D17" s="102"/>
      <c r="E17" s="102"/>
      <c r="F17" s="102"/>
      <c r="G17" s="102"/>
      <c r="H17" s="102"/>
      <c r="I17" s="102"/>
      <c r="J17" s="102"/>
      <c r="K17" s="102"/>
      <c r="L17" s="103" t="n">
        <f aca="false">IF('INSERÇÃO-DE-DADOS_MÃO DE OBRA'!E19&gt;=1,'INSERÇÃO-DE-DADOS_MÃO DE OBRA'!E20,"")</f>
        <v>6</v>
      </c>
      <c r="AMG17" s="0"/>
      <c r="AMH17" s="0"/>
      <c r="AMI17" s="0"/>
      <c r="AMJ17" s="0"/>
    </row>
    <row r="18" s="3" customFormat="true" ht="15.95" hidden="false" customHeight="true" outlineLevel="0" collapsed="false">
      <c r="AMG18" s="0"/>
      <c r="AMH18" s="0"/>
      <c r="AMI18" s="0"/>
      <c r="AMJ18" s="0"/>
    </row>
    <row r="19" s="3" customFormat="true" ht="15.95" hidden="false" customHeight="true" outlineLevel="0" collapsed="false">
      <c r="A19" s="13"/>
      <c r="B19" s="104"/>
      <c r="C19" s="104"/>
      <c r="D19" s="104"/>
      <c r="E19" s="104"/>
      <c r="F19" s="104"/>
      <c r="G19" s="104"/>
      <c r="H19" s="105"/>
      <c r="I19" s="105"/>
      <c r="J19" s="105"/>
      <c r="K19" s="105"/>
      <c r="L19" s="105"/>
      <c r="AMG19" s="0"/>
      <c r="AMH19" s="0"/>
      <c r="AMI19" s="0"/>
      <c r="AMJ19" s="0"/>
    </row>
    <row r="20" s="3" customFormat="true" ht="16.5" hidden="false" customHeight="true" outlineLevel="0" collapsed="false">
      <c r="A20" s="13"/>
      <c r="B20" s="49" t="s">
        <v>154</v>
      </c>
      <c r="C20" s="49"/>
      <c r="D20" s="49"/>
      <c r="E20" s="49"/>
      <c r="F20" s="49"/>
      <c r="G20" s="49"/>
      <c r="H20" s="49"/>
      <c r="I20" s="49"/>
      <c r="J20" s="49"/>
      <c r="K20" s="49"/>
      <c r="L20" s="49"/>
      <c r="AMG20" s="0"/>
      <c r="AMH20" s="0"/>
      <c r="AMI20" s="0"/>
      <c r="AMJ20" s="0"/>
    </row>
    <row r="21" s="27" customFormat="true" ht="32.25" hidden="false" customHeight="true" outlineLevel="0" collapsed="false">
      <c r="B21" s="106" t="s">
        <v>155</v>
      </c>
      <c r="C21" s="106"/>
      <c r="D21" s="106"/>
      <c r="E21" s="106"/>
      <c r="F21" s="106"/>
      <c r="G21" s="106"/>
      <c r="H21" s="106"/>
      <c r="I21" s="106"/>
      <c r="J21" s="106"/>
      <c r="K21" s="106"/>
      <c r="L21" s="106"/>
      <c r="AMG21" s="0"/>
      <c r="AMH21" s="0"/>
      <c r="AMI21" s="0"/>
      <c r="AMJ21" s="0"/>
    </row>
    <row r="22" s="3" customFormat="true" ht="16.5" hidden="false" customHeight="true" outlineLevel="0" collapsed="false">
      <c r="B22" s="107" t="s">
        <v>156</v>
      </c>
      <c r="C22" s="107"/>
      <c r="D22" s="107"/>
      <c r="E22" s="107"/>
      <c r="F22" s="107"/>
      <c r="G22" s="107"/>
      <c r="H22" s="107"/>
      <c r="I22" s="107"/>
      <c r="J22" s="107"/>
      <c r="K22" s="107"/>
      <c r="L22" s="107"/>
      <c r="AMG22" s="0"/>
      <c r="AMH22" s="0"/>
      <c r="AMI22" s="0"/>
      <c r="AMJ22" s="0"/>
    </row>
    <row r="23" s="3" customFormat="true" ht="16.5" hidden="false" customHeight="true" outlineLevel="0" collapsed="false">
      <c r="B23" s="107"/>
      <c r="C23" s="107"/>
      <c r="D23" s="107"/>
      <c r="E23" s="107"/>
      <c r="F23" s="107"/>
      <c r="G23" s="107"/>
      <c r="H23" s="107"/>
      <c r="I23" s="107"/>
      <c r="J23" s="107"/>
      <c r="K23" s="107"/>
      <c r="L23" s="107"/>
      <c r="AMG23" s="0"/>
      <c r="AMH23" s="0"/>
      <c r="AMI23" s="0"/>
      <c r="AMJ23" s="0"/>
    </row>
    <row r="24" s="13" customFormat="true" ht="16.5" hidden="false" customHeight="true" outlineLevel="0" collapsed="false">
      <c r="A24" s="3"/>
      <c r="B24" s="108" t="s">
        <v>157</v>
      </c>
      <c r="C24" s="108"/>
      <c r="D24" s="108"/>
      <c r="E24" s="108"/>
      <c r="F24" s="108"/>
      <c r="G24" s="108"/>
      <c r="H24" s="108"/>
      <c r="I24" s="108"/>
      <c r="J24" s="108"/>
      <c r="K24" s="108"/>
      <c r="L24" s="108"/>
      <c r="AMG24" s="0"/>
      <c r="AMH24" s="0"/>
      <c r="AMI24" s="0"/>
      <c r="AMJ24" s="0"/>
    </row>
    <row r="25" s="3" customFormat="true" ht="15.95" hidden="false" customHeight="true" outlineLevel="0" collapsed="false">
      <c r="B25" s="108"/>
      <c r="C25" s="108"/>
      <c r="D25" s="108"/>
      <c r="E25" s="108"/>
      <c r="F25" s="108"/>
      <c r="G25" s="108"/>
      <c r="H25" s="108"/>
      <c r="I25" s="108"/>
      <c r="J25" s="108"/>
      <c r="K25" s="108"/>
      <c r="L25" s="108"/>
      <c r="AMG25" s="0"/>
      <c r="AMH25" s="0"/>
      <c r="AMI25" s="0"/>
      <c r="AMJ25" s="0"/>
    </row>
    <row r="26" s="3" customFormat="true" ht="15" hidden="false" customHeight="true" outlineLevel="0" collapsed="false">
      <c r="B26" s="107" t="s">
        <v>158</v>
      </c>
      <c r="C26" s="107"/>
      <c r="D26" s="107"/>
      <c r="E26" s="107"/>
      <c r="F26" s="107"/>
      <c r="G26" s="107"/>
      <c r="H26" s="107"/>
      <c r="I26" s="107"/>
      <c r="J26" s="107"/>
      <c r="K26" s="107"/>
      <c r="L26" s="107"/>
      <c r="AMG26" s="0"/>
      <c r="AMH26" s="0"/>
      <c r="AMI26" s="0"/>
      <c r="AMJ26" s="0"/>
    </row>
    <row r="27" s="3" customFormat="true" ht="15" hidden="false" customHeight="true" outlineLevel="0" collapsed="false">
      <c r="B27" s="107"/>
      <c r="C27" s="107"/>
      <c r="D27" s="107"/>
      <c r="E27" s="107"/>
      <c r="F27" s="107"/>
      <c r="G27" s="107"/>
      <c r="H27" s="107"/>
      <c r="I27" s="107"/>
      <c r="J27" s="107"/>
      <c r="K27" s="107"/>
      <c r="L27" s="107"/>
      <c r="AMG27" s="0"/>
      <c r="AMH27" s="0"/>
      <c r="AMI27" s="0"/>
      <c r="AMJ27" s="0"/>
    </row>
    <row r="28" s="3" customFormat="true" ht="15" hidden="false" customHeight="true" outlineLevel="0" collapsed="false">
      <c r="A28" s="13"/>
      <c r="AMG28" s="0"/>
      <c r="AMH28" s="0"/>
      <c r="AMI28" s="0"/>
      <c r="AMJ28" s="0"/>
    </row>
    <row r="29" s="3" customFormat="true" ht="15.95" hidden="false" customHeight="true" outlineLevel="0" collapsed="false">
      <c r="AMG29" s="0"/>
      <c r="AMH29" s="0"/>
      <c r="AMI29" s="0"/>
      <c r="AMJ29" s="0"/>
    </row>
    <row r="30" s="3" customFormat="true" ht="15.95" hidden="false" customHeight="true" outlineLevel="0" collapsed="false">
      <c r="AMG30" s="0"/>
      <c r="AMH30" s="0"/>
      <c r="AMI30" s="0"/>
      <c r="AMJ30" s="0"/>
    </row>
    <row r="31" s="3" customFormat="true" ht="13.8" hidden="false" customHeight="false" outlineLevel="0" collapsed="false">
      <c r="B31" s="1"/>
      <c r="C31" s="1"/>
      <c r="D31" s="1"/>
      <c r="E31" s="1"/>
      <c r="F31" s="1"/>
      <c r="G31" s="1"/>
      <c r="H31" s="1"/>
      <c r="I31" s="1"/>
      <c r="J31" s="1"/>
      <c r="K31" s="1"/>
      <c r="L31" s="1"/>
      <c r="AMG31" s="0"/>
      <c r="AMH31" s="0"/>
      <c r="AMI31" s="0"/>
      <c r="AMJ31" s="0"/>
    </row>
    <row r="32" s="3" customFormat="true" ht="13.8" hidden="false" customHeight="false" outlineLevel="0" collapsed="false">
      <c r="B32" s="1"/>
      <c r="C32" s="1"/>
      <c r="D32" s="1"/>
      <c r="E32" s="1"/>
      <c r="F32" s="1"/>
      <c r="G32" s="1"/>
      <c r="H32" s="1"/>
      <c r="I32" s="1"/>
      <c r="J32" s="1"/>
      <c r="K32" s="1"/>
      <c r="L32" s="1"/>
      <c r="AMG32" s="0"/>
      <c r="AMH32" s="0"/>
      <c r="AMI32" s="0"/>
      <c r="AMJ32" s="0"/>
    </row>
    <row r="34" customFormat="false" ht="16.5" hidden="false" customHeight="true" outlineLevel="0" collapsed="false"/>
    <row r="35" customFormat="false" ht="16.5" hidden="false" customHeight="true" outlineLevel="0" collapsed="false"/>
    <row r="36" customFormat="false" ht="16.5" hidden="false" customHeight="true" outlineLevel="0" collapsed="false">
      <c r="H36" s="54"/>
      <c r="I36" s="54"/>
      <c r="J36" s="54"/>
      <c r="K36" s="54"/>
    </row>
    <row r="37" customFormat="false" ht="16.5" hidden="false" customHeight="true" outlineLevel="0" collapsed="false">
      <c r="B37" s="54"/>
      <c r="C37" s="54"/>
      <c r="D37" s="54"/>
      <c r="E37" s="54"/>
      <c r="F37" s="54"/>
      <c r="G37" s="54"/>
      <c r="H37" s="54"/>
      <c r="I37" s="54"/>
      <c r="J37" s="54"/>
      <c r="K37" s="54"/>
      <c r="L37" s="54"/>
    </row>
    <row r="38" customFormat="false" ht="16.5" hidden="false" customHeight="true" outlineLevel="0" collapsed="false">
      <c r="B38" s="54"/>
      <c r="C38" s="54"/>
      <c r="D38" s="54"/>
      <c r="E38" s="54"/>
      <c r="F38" s="54"/>
      <c r="G38" s="54"/>
      <c r="H38" s="3"/>
      <c r="I38" s="3"/>
      <c r="J38" s="3"/>
      <c r="K38" s="3"/>
      <c r="L38" s="54"/>
    </row>
    <row r="39" s="54" customFormat="true" ht="13.8" hidden="false" customHeight="false" outlineLevel="0" collapsed="false">
      <c r="B39" s="3"/>
      <c r="C39" s="3"/>
      <c r="D39" s="3"/>
      <c r="E39" s="3"/>
      <c r="F39" s="3"/>
      <c r="G39" s="3"/>
      <c r="H39" s="13"/>
      <c r="I39" s="13"/>
      <c r="J39" s="13"/>
      <c r="K39" s="13"/>
      <c r="L39" s="3"/>
      <c r="AMG39" s="0"/>
      <c r="AMH39" s="0"/>
      <c r="AMI39" s="0"/>
      <c r="AMJ39" s="0"/>
    </row>
    <row r="40" s="54" customFormat="true" ht="13.8" hidden="false" customHeight="false" outlineLevel="0" collapsed="false">
      <c r="A40" s="1"/>
      <c r="B40" s="13"/>
      <c r="C40" s="13"/>
      <c r="D40" s="13"/>
      <c r="E40" s="13"/>
      <c r="F40" s="13"/>
      <c r="G40" s="13"/>
      <c r="L40" s="13"/>
      <c r="AMG40" s="0"/>
      <c r="AMH40" s="0"/>
      <c r="AMI40" s="0"/>
      <c r="AMJ40" s="0"/>
    </row>
    <row r="41" s="54" customFormat="true" ht="13.8" hidden="false" customHeight="false" outlineLevel="0" collapsed="false">
      <c r="AMG41" s="0"/>
      <c r="AMH41" s="0"/>
      <c r="AMI41" s="0"/>
      <c r="AMJ41" s="0"/>
    </row>
    <row r="42" s="54" customFormat="true" ht="13.8" hidden="false" customHeight="false" outlineLevel="0" collapsed="false">
      <c r="A42" s="1"/>
      <c r="AMG42" s="0"/>
      <c r="AMH42" s="0"/>
      <c r="AMI42" s="0"/>
      <c r="AMJ42" s="0"/>
    </row>
    <row r="43" s="54" customFormat="true" ht="15" hidden="false" customHeight="true" outlineLevel="0" collapsed="false">
      <c r="A43" s="1"/>
      <c r="AMG43" s="0"/>
      <c r="AMH43" s="0"/>
      <c r="AMI43" s="0"/>
      <c r="AMJ43" s="0"/>
    </row>
    <row r="44" s="54" customFormat="true" ht="13.8" hidden="false" customHeight="false" outlineLevel="0" collapsed="false">
      <c r="A44" s="1"/>
      <c r="AMG44" s="0"/>
      <c r="AMH44" s="0"/>
      <c r="AMI44" s="0"/>
      <c r="AMJ44" s="0"/>
    </row>
    <row r="45" s="54" customFormat="true" ht="13.8" hidden="false" customHeight="false" outlineLevel="0" collapsed="false">
      <c r="A45" s="1"/>
      <c r="AMG45" s="0"/>
      <c r="AMH45" s="0"/>
      <c r="AMI45" s="0"/>
      <c r="AMJ45" s="0"/>
    </row>
    <row r="46" s="54" customFormat="true" ht="13.8" hidden="false" customHeight="false" outlineLevel="0" collapsed="false">
      <c r="A46" s="1"/>
      <c r="AMG46" s="0"/>
      <c r="AMH46" s="0"/>
      <c r="AMI46" s="0"/>
      <c r="AMJ46" s="0"/>
    </row>
    <row r="47" s="54" customFormat="true" ht="13.8" hidden="false" customHeight="false" outlineLevel="0" collapsed="false">
      <c r="A47" s="1"/>
      <c r="AMG47" s="0"/>
      <c r="AMH47" s="0"/>
      <c r="AMI47" s="0"/>
      <c r="AMJ47" s="0"/>
    </row>
    <row r="48" s="54" customFormat="true" ht="13.8" hidden="false" customHeight="false" outlineLevel="0" collapsed="false">
      <c r="A48" s="1"/>
      <c r="AMG48" s="0"/>
      <c r="AMH48" s="0"/>
      <c r="AMI48" s="0"/>
      <c r="AMJ48" s="0"/>
    </row>
    <row r="49" s="54" customFormat="true" ht="13.8" hidden="false" customHeight="false" outlineLevel="0" collapsed="false">
      <c r="A49" s="1"/>
      <c r="AMG49" s="0"/>
      <c r="AMH49" s="0"/>
      <c r="AMI49" s="0"/>
      <c r="AMJ49" s="0"/>
    </row>
    <row r="50" s="54" customFormat="true" ht="13.8" hidden="false" customHeight="false" outlineLevel="0" collapsed="false">
      <c r="A50" s="1"/>
      <c r="AMG50" s="0"/>
      <c r="AMH50" s="0"/>
      <c r="AMI50" s="0"/>
      <c r="AMJ50" s="0"/>
    </row>
    <row r="51" s="54" customFormat="true" ht="13.8" hidden="false" customHeight="false" outlineLevel="0" collapsed="false">
      <c r="H51" s="1"/>
      <c r="I51" s="1"/>
      <c r="J51" s="1"/>
      <c r="K51" s="1"/>
      <c r="AMG51" s="0"/>
      <c r="AMH51" s="0"/>
      <c r="AMI51" s="0"/>
      <c r="AMJ51" s="0"/>
    </row>
    <row r="52" s="54" customFormat="true" ht="13.8" hidden="false" customHeight="false" outlineLevel="0" collapsed="false">
      <c r="B52" s="1"/>
      <c r="C52" s="1"/>
      <c r="D52" s="1"/>
      <c r="E52" s="1"/>
      <c r="F52" s="1"/>
      <c r="G52" s="1"/>
      <c r="H52" s="1"/>
      <c r="I52" s="1"/>
      <c r="J52" s="1"/>
      <c r="K52" s="1"/>
      <c r="L52" s="1"/>
      <c r="AMG52" s="0"/>
      <c r="AMH52" s="0"/>
      <c r="AMI52" s="0"/>
      <c r="AMJ52" s="0"/>
    </row>
    <row r="53" customFormat="false" ht="16.5" hidden="false" customHeight="true" outlineLevel="0" collapsed="false">
      <c r="H53" s="54"/>
      <c r="I53" s="54"/>
      <c r="J53" s="54"/>
      <c r="K53" s="54"/>
    </row>
    <row r="54" customFormat="false" ht="16.5" hidden="false" customHeight="true" outlineLevel="0" collapsed="false">
      <c r="B54" s="54"/>
      <c r="C54" s="54"/>
      <c r="D54" s="54"/>
      <c r="E54" s="54"/>
      <c r="F54" s="54"/>
      <c r="G54" s="54"/>
      <c r="H54" s="3"/>
      <c r="I54" s="3"/>
      <c r="J54" s="3"/>
      <c r="K54" s="3"/>
      <c r="L54" s="54"/>
    </row>
    <row r="55" customFormat="false" ht="16.5" hidden="false" customHeight="true" outlineLevel="0" collapsed="false">
      <c r="B55" s="3"/>
      <c r="C55" s="3"/>
      <c r="D55" s="3"/>
      <c r="E55" s="3"/>
      <c r="F55" s="3"/>
      <c r="G55" s="3"/>
      <c r="H55" s="3"/>
      <c r="I55" s="3"/>
      <c r="J55" s="3"/>
      <c r="K55" s="3"/>
      <c r="L55" s="3"/>
    </row>
    <row r="56" s="54" customFormat="true" ht="13.8" hidden="false" customHeight="false" outlineLevel="0" collapsed="false">
      <c r="B56" s="3"/>
      <c r="C56" s="3"/>
      <c r="D56" s="3"/>
      <c r="E56" s="3"/>
      <c r="F56" s="3"/>
      <c r="G56" s="3"/>
      <c r="H56" s="3"/>
      <c r="I56" s="3"/>
      <c r="J56" s="3"/>
      <c r="K56" s="3"/>
      <c r="L56" s="3"/>
      <c r="AMG56" s="0"/>
      <c r="AMH56" s="0"/>
      <c r="AMI56" s="0"/>
      <c r="AMJ56" s="0"/>
    </row>
    <row r="57" s="3" customFormat="true" ht="12.8" hidden="false" customHeight="false" outlineLevel="0" collapsed="false">
      <c r="AMG57" s="0"/>
      <c r="AMH57" s="0"/>
      <c r="AMI57" s="0"/>
      <c r="AMJ57" s="0"/>
    </row>
    <row r="58" s="3" customFormat="true" ht="15" hidden="false" customHeight="true" outlineLevel="0" collapsed="false">
      <c r="H58" s="1"/>
      <c r="I58" s="1"/>
      <c r="J58" s="1"/>
      <c r="K58" s="1"/>
      <c r="AMG58" s="0"/>
      <c r="AMH58" s="0"/>
      <c r="AMI58" s="0"/>
      <c r="AMJ58" s="0"/>
    </row>
    <row r="59" s="3" customFormat="true" ht="16.5" hidden="false" customHeight="true" outlineLevel="0" collapsed="false">
      <c r="B59" s="1"/>
      <c r="C59" s="1"/>
      <c r="D59" s="1"/>
      <c r="E59" s="1"/>
      <c r="F59" s="1"/>
      <c r="G59" s="1"/>
      <c r="H59" s="1"/>
      <c r="I59" s="1"/>
      <c r="J59" s="1"/>
      <c r="K59" s="1"/>
      <c r="L59" s="1"/>
      <c r="AMG59" s="0"/>
      <c r="AMH59" s="0"/>
      <c r="AMI59" s="0"/>
      <c r="AMJ59" s="0"/>
    </row>
    <row r="60" customFormat="false" ht="16.5" hidden="false" customHeight="true" outlineLevel="0" collapsed="false">
      <c r="A60" s="3"/>
    </row>
    <row r="61" s="54" customFormat="true" ht="13.8" hidden="false" customHeight="false" outlineLevel="0" collapsed="false">
      <c r="B61" s="1"/>
      <c r="C61" s="1"/>
      <c r="D61" s="1"/>
      <c r="E61" s="1"/>
      <c r="F61" s="1"/>
      <c r="G61" s="1"/>
      <c r="H61" s="1"/>
      <c r="I61" s="1"/>
      <c r="J61" s="1"/>
      <c r="K61" s="1"/>
      <c r="L61" s="1"/>
      <c r="AMG61" s="0"/>
      <c r="AMH61" s="0"/>
      <c r="AMI61" s="0"/>
      <c r="AMJ61" s="0"/>
    </row>
    <row r="64" customFormat="false" ht="16.5" hidden="false" customHeight="true" outlineLevel="0" collapsed="false"/>
    <row r="65" customFormat="false" ht="15" hidden="false" customHeight="true" outlineLevel="0" collapsed="false">
      <c r="H65" s="54"/>
      <c r="I65" s="54"/>
      <c r="J65" s="54"/>
      <c r="K65" s="54"/>
    </row>
    <row r="66" s="54" customFormat="true" ht="13.8" hidden="false" customHeight="false" outlineLevel="0" collapsed="false">
      <c r="H66" s="1"/>
      <c r="I66" s="1"/>
      <c r="J66" s="1"/>
      <c r="K66" s="1"/>
      <c r="AMG66" s="0"/>
      <c r="AMH66" s="0"/>
      <c r="AMI66" s="0"/>
      <c r="AMJ66" s="0"/>
    </row>
    <row r="68" customFormat="false" ht="15.75" hidden="false" customHeight="true" outlineLevel="0" collapsed="false">
      <c r="H68" s="81"/>
      <c r="I68" s="81"/>
      <c r="J68" s="81"/>
      <c r="K68" s="81"/>
    </row>
    <row r="69" customFormat="false" ht="16.5" hidden="false" customHeight="true" outlineLevel="0" collapsed="false">
      <c r="B69" s="81"/>
      <c r="C69" s="81"/>
      <c r="D69" s="81"/>
      <c r="E69" s="81"/>
      <c r="F69" s="81"/>
      <c r="G69" s="81"/>
      <c r="H69" s="81"/>
      <c r="I69" s="81"/>
      <c r="J69" s="81"/>
      <c r="K69" s="81"/>
      <c r="L69" s="81"/>
    </row>
    <row r="70" customFormat="false" ht="16.5" hidden="false" customHeight="true" outlineLevel="0" collapsed="false">
      <c r="B70" s="81"/>
      <c r="C70" s="81"/>
      <c r="D70" s="81"/>
      <c r="E70" s="81"/>
      <c r="F70" s="81"/>
      <c r="G70" s="81"/>
      <c r="H70" s="54"/>
      <c r="I70" s="54"/>
      <c r="J70" s="54"/>
      <c r="K70" s="54"/>
      <c r="L70" s="81"/>
    </row>
    <row r="71" s="81" customFormat="true" ht="16.5" hidden="false" customHeight="true" outlineLevel="0" collapsed="false">
      <c r="A71" s="1"/>
      <c r="B71" s="54"/>
      <c r="C71" s="54"/>
      <c r="D71" s="54"/>
      <c r="E71" s="54"/>
      <c r="F71" s="54"/>
      <c r="G71" s="54"/>
      <c r="H71" s="83"/>
      <c r="I71" s="83"/>
      <c r="J71" s="83"/>
      <c r="K71" s="83"/>
      <c r="L71" s="54"/>
      <c r="AMG71" s="0"/>
      <c r="AMH71" s="0"/>
      <c r="AMI71" s="0"/>
      <c r="AMJ71" s="0"/>
    </row>
    <row r="72" s="81" customFormat="true" ht="16.5" hidden="false" customHeight="true" outlineLevel="0" collapsed="false">
      <c r="A72" s="1"/>
      <c r="B72" s="83"/>
      <c r="C72" s="83"/>
      <c r="D72" s="83"/>
      <c r="E72" s="83"/>
      <c r="F72" s="83"/>
      <c r="G72" s="83"/>
      <c r="H72" s="82"/>
      <c r="I72" s="82"/>
      <c r="J72" s="82"/>
      <c r="K72" s="82"/>
      <c r="L72" s="83"/>
      <c r="AMG72" s="0"/>
      <c r="AMH72" s="0"/>
      <c r="AMI72" s="0"/>
      <c r="AMJ72" s="0"/>
    </row>
    <row r="73" s="54" customFormat="true" ht="13.8" hidden="false" customHeight="false" outlineLevel="0" collapsed="false">
      <c r="B73" s="82"/>
      <c r="C73" s="82"/>
      <c r="D73" s="82"/>
      <c r="E73" s="82"/>
      <c r="F73" s="82"/>
      <c r="G73" s="82"/>
      <c r="H73" s="82"/>
      <c r="I73" s="82"/>
      <c r="J73" s="82"/>
      <c r="K73" s="82"/>
      <c r="L73" s="82"/>
      <c r="AMG73" s="0"/>
      <c r="AMH73" s="0"/>
      <c r="AMI73" s="0"/>
      <c r="AMJ73" s="0"/>
    </row>
    <row r="74" s="83" customFormat="true" ht="16.5" hidden="false" customHeight="true" outlineLevel="0" collapsed="false">
      <c r="A74" s="1"/>
      <c r="B74" s="82"/>
      <c r="C74" s="82"/>
      <c r="D74" s="82"/>
      <c r="E74" s="82"/>
      <c r="F74" s="82"/>
      <c r="G74" s="82"/>
      <c r="H74" s="82"/>
      <c r="I74" s="82"/>
      <c r="J74" s="82"/>
      <c r="K74" s="82"/>
      <c r="L74" s="82"/>
      <c r="AMG74" s="0"/>
      <c r="AMH74" s="0"/>
      <c r="AMI74" s="0"/>
      <c r="AMJ74" s="0"/>
    </row>
    <row r="75" s="82" customFormat="true" ht="16.5" hidden="false" customHeight="true" outlineLevel="0" collapsed="false">
      <c r="A75" s="1"/>
      <c r="AMG75" s="0"/>
      <c r="AMH75" s="0"/>
      <c r="AMI75" s="0"/>
      <c r="AMJ75" s="0"/>
    </row>
    <row r="76" s="82" customFormat="true" ht="16.5" hidden="false" customHeight="true" outlineLevel="0" collapsed="false">
      <c r="A76" s="81"/>
      <c r="H76" s="1"/>
      <c r="I76" s="1"/>
      <c r="J76" s="1"/>
      <c r="K76" s="1"/>
      <c r="AMG76" s="0"/>
      <c r="AMH76" s="0"/>
      <c r="AMI76" s="0"/>
      <c r="AMJ76" s="0"/>
    </row>
    <row r="77" s="82" customFormat="true" ht="16.5" hidden="false" customHeight="true" outlineLevel="0" collapsed="false">
      <c r="A77" s="81"/>
      <c r="B77" s="1"/>
      <c r="C77" s="1"/>
      <c r="D77" s="1"/>
      <c r="E77" s="1"/>
      <c r="F77" s="1"/>
      <c r="G77" s="1"/>
      <c r="H77" s="1"/>
      <c r="I77" s="1"/>
      <c r="J77" s="1"/>
      <c r="K77" s="1"/>
      <c r="L77" s="1"/>
      <c r="AMG77" s="0"/>
      <c r="AMH77" s="0"/>
      <c r="AMI77" s="0"/>
      <c r="AMJ77" s="0"/>
    </row>
    <row r="78" s="82" customFormat="true" ht="16.5" hidden="false" customHeight="true" outlineLevel="0" collapsed="false">
      <c r="A78" s="83"/>
      <c r="B78" s="1"/>
      <c r="C78" s="1"/>
      <c r="D78" s="1"/>
      <c r="E78" s="1"/>
      <c r="F78" s="1"/>
      <c r="G78" s="1"/>
      <c r="H78" s="54"/>
      <c r="I78" s="54"/>
      <c r="J78" s="54"/>
      <c r="K78" s="54"/>
      <c r="L78" s="1"/>
      <c r="AMG78" s="0"/>
      <c r="AMH78" s="0"/>
      <c r="AMI78" s="0"/>
      <c r="AMJ78" s="0"/>
    </row>
    <row r="79" customFormat="false" ht="16.5" hidden="false" customHeight="true" outlineLevel="0" collapsed="false">
      <c r="B79" s="54"/>
      <c r="C79" s="54"/>
      <c r="D79" s="54"/>
      <c r="E79" s="54"/>
      <c r="F79" s="54"/>
      <c r="G79" s="54"/>
      <c r="L79" s="54"/>
    </row>
    <row r="80" customFormat="false" ht="16.5" hidden="false" customHeight="true" outlineLevel="0" collapsed="false"/>
    <row r="81" s="54" customFormat="true" ht="13.8" hidden="false" customHeight="false" outlineLevel="0" collapsed="false">
      <c r="B81" s="1"/>
      <c r="C81" s="1"/>
      <c r="D81" s="1"/>
      <c r="E81" s="1"/>
      <c r="F81" s="1"/>
      <c r="G81" s="1"/>
      <c r="H81" s="1"/>
      <c r="I81" s="1"/>
      <c r="J81" s="1"/>
      <c r="K81" s="1"/>
      <c r="L81" s="1"/>
      <c r="AMG81" s="0"/>
      <c r="AMH81" s="0"/>
      <c r="AMI81" s="0"/>
      <c r="AMJ81" s="0"/>
    </row>
    <row r="83" customFormat="false" ht="33.75" hidden="false" customHeight="true" outlineLevel="0" collapsed="false"/>
  </sheetData>
  <mergeCells count="25">
    <mergeCell ref="B2:L2"/>
    <mergeCell ref="B4:K4"/>
    <mergeCell ref="B5:G5"/>
    <mergeCell ref="H5:K5"/>
    <mergeCell ref="N5:W5"/>
    <mergeCell ref="B6:B8"/>
    <mergeCell ref="C6:C8"/>
    <mergeCell ref="D6:D7"/>
    <mergeCell ref="E6:E7"/>
    <mergeCell ref="F6:F7"/>
    <mergeCell ref="G6:G7"/>
    <mergeCell ref="H6:H7"/>
    <mergeCell ref="I6:I7"/>
    <mergeCell ref="J6:J7"/>
    <mergeCell ref="K6:K7"/>
    <mergeCell ref="L6:L8"/>
    <mergeCell ref="B9:B11"/>
    <mergeCell ref="B12:B14"/>
    <mergeCell ref="B15:B16"/>
    <mergeCell ref="B17:H17"/>
    <mergeCell ref="B20:L20"/>
    <mergeCell ref="B21:L21"/>
    <mergeCell ref="B22:L23"/>
    <mergeCell ref="B24:L25"/>
    <mergeCell ref="B26:L27"/>
  </mergeCells>
  <dataValidations count="1">
    <dataValidation allowBlank="true" operator="between" showDropDown="false" showErrorMessage="true" showInputMessage="true" sqref="L4" type="list">
      <formula1>"7/2015,213/2017"</formula1>
      <formula2>0</formula2>
    </dataValidation>
  </dataValidations>
  <printOptions headings="false" gridLines="false" gridLinesSet="true" horizontalCentered="false" verticalCentered="false"/>
  <pageMargins left="0.170138888888889" right="0.170138888888889" top="0.459722222222222" bottom="0.329861111111111" header="0.511805555555555" footer="0.511805555555555"/>
  <pageSetup paperSize="9" scale="72"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1048576"/>
  <sheetViews>
    <sheetView showFormulas="false" showGridLines="true" showRowColHeaders="true" showZeros="true" rightToLeft="false" tabSelected="false" showOutlineSymbols="true" defaultGridColor="true" view="normal" topLeftCell="A31" colorId="64" zoomScale="80" zoomScaleNormal="80" zoomScalePageLayoutView="100" workbookViewId="0">
      <selection pane="topLeft" activeCell="B24" activeCellId="0" sqref="B24"/>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9.71"/>
    <col collapsed="false" customWidth="true" hidden="false" outlineLevel="0" max="5" min="5" style="1" width="11.99"/>
    <col collapsed="false" customWidth="true" hidden="false" outlineLevel="0" max="6" min="6" style="1" width="17"/>
    <col collapsed="false" customWidth="true" hidden="false" outlineLevel="0" max="1025" min="7" style="1" width="9.13"/>
  </cols>
  <sheetData>
    <row r="1" s="3" customFormat="true" ht="25.5" hidden="false" customHeight="false" outlineLevel="0" collapsed="false">
      <c r="B1" s="45" t="s">
        <v>159</v>
      </c>
      <c r="C1" s="1"/>
      <c r="D1" s="1"/>
      <c r="E1" s="1"/>
      <c r="F1" s="1"/>
    </row>
    <row r="2" customFormat="false" ht="16.5" hidden="false" customHeight="false" outlineLevel="0" collapsed="false">
      <c r="B2" s="46" t="s">
        <v>50</v>
      </c>
      <c r="E2" s="47"/>
      <c r="F2" s="47"/>
    </row>
    <row r="3" customFormat="false" ht="33" hidden="false" customHeight="true" outlineLevel="0" collapsed="false">
      <c r="B3" s="21" t="n">
        <v>1</v>
      </c>
      <c r="C3" s="48" t="s">
        <v>51</v>
      </c>
      <c r="D3" s="48"/>
      <c r="E3" s="48"/>
      <c r="F3" s="49" t="s">
        <v>160</v>
      </c>
    </row>
    <row r="4" customFormat="false" ht="16.5" hidden="false" customHeight="true" outlineLevel="0" collapsed="false">
      <c r="B4" s="21" t="s">
        <v>17</v>
      </c>
      <c r="C4" s="59" t="s">
        <v>161</v>
      </c>
      <c r="D4" s="59"/>
      <c r="E4" s="59"/>
      <c r="F4" s="109" t="n">
        <v>220</v>
      </c>
    </row>
    <row r="5" customFormat="false" ht="16.5" hidden="false" customHeight="true" outlineLevel="0" collapsed="false">
      <c r="B5" s="21" t="s">
        <v>19</v>
      </c>
      <c r="C5" s="50" t="s">
        <v>162</v>
      </c>
      <c r="D5" s="50"/>
      <c r="E5" s="50"/>
      <c r="F5" s="110" t="n">
        <v>7</v>
      </c>
    </row>
    <row r="6" customFormat="false" ht="16.5" hidden="false" customHeight="true" outlineLevel="0" collapsed="false">
      <c r="B6" s="21" t="s">
        <v>21</v>
      </c>
      <c r="C6" s="59" t="s">
        <v>163</v>
      </c>
      <c r="D6" s="59"/>
      <c r="E6" s="59"/>
      <c r="F6" s="109" t="n">
        <v>365</v>
      </c>
    </row>
    <row r="7" customFormat="false" ht="16.5" hidden="false" customHeight="true" outlineLevel="0" collapsed="false">
      <c r="B7" s="21" t="s">
        <v>24</v>
      </c>
      <c r="C7" s="50" t="s">
        <v>164</v>
      </c>
      <c r="D7" s="50"/>
      <c r="E7" s="50"/>
      <c r="F7" s="111" t="n">
        <v>15.2</v>
      </c>
    </row>
    <row r="8" customFormat="false" ht="16.5" hidden="false" customHeight="true" outlineLevel="0" collapsed="false">
      <c r="B8" s="21" t="s">
        <v>27</v>
      </c>
      <c r="C8" s="59" t="s">
        <v>165</v>
      </c>
      <c r="D8" s="59"/>
      <c r="E8" s="59"/>
      <c r="F8" s="109" t="n">
        <v>12</v>
      </c>
    </row>
    <row r="9" customFormat="false" ht="16.5" hidden="false" customHeight="true" outlineLevel="0" collapsed="false">
      <c r="B9" s="21" t="s">
        <v>86</v>
      </c>
      <c r="C9" s="50" t="s">
        <v>166</v>
      </c>
      <c r="D9" s="50"/>
      <c r="E9" s="50"/>
      <c r="F9" s="110" t="n">
        <v>6</v>
      </c>
    </row>
    <row r="10" customFormat="false" ht="16.5" hidden="false" customHeight="true" outlineLevel="0" collapsed="false">
      <c r="B10" s="21" t="s">
        <v>167</v>
      </c>
      <c r="C10" s="79" t="s">
        <v>168</v>
      </c>
      <c r="D10" s="79"/>
      <c r="E10" s="79"/>
      <c r="F10" s="109" t="n">
        <v>60</v>
      </c>
    </row>
    <row r="11" customFormat="false" ht="16.5" hidden="false" customHeight="true" outlineLevel="0" collapsed="false">
      <c r="B11" s="21" t="s">
        <v>169</v>
      </c>
      <c r="C11" s="50" t="s">
        <v>170</v>
      </c>
      <c r="D11" s="50"/>
      <c r="E11" s="50"/>
      <c r="F11" s="110" t="n">
        <v>40</v>
      </c>
    </row>
    <row r="12" s="54" customFormat="true" ht="16.5" hidden="false" customHeight="false" outlineLevel="0" collapsed="false"/>
    <row r="13" s="54" customFormat="true" ht="16.5" hidden="false" customHeight="false" outlineLevel="0" collapsed="false">
      <c r="A13" s="1"/>
      <c r="B13" s="46" t="s">
        <v>57</v>
      </c>
      <c r="C13" s="1"/>
      <c r="D13" s="1"/>
      <c r="E13" s="56"/>
      <c r="F13" s="56"/>
    </row>
    <row r="14" s="54" customFormat="true" ht="16.5" hidden="false" customHeight="false" outlineLevel="0" collapsed="false">
      <c r="A14" s="1"/>
      <c r="B14" s="46" t="s">
        <v>65</v>
      </c>
      <c r="C14" s="13"/>
      <c r="D14" s="13"/>
      <c r="E14" s="13"/>
      <c r="F14" s="13"/>
    </row>
    <row r="15" s="54" customFormat="true" ht="15" hidden="false" customHeight="true" outlineLevel="0" collapsed="false">
      <c r="A15" s="1"/>
      <c r="B15" s="21" t="s">
        <v>66</v>
      </c>
      <c r="C15" s="48" t="s">
        <v>67</v>
      </c>
      <c r="D15" s="48"/>
      <c r="E15" s="49" t="s">
        <v>68</v>
      </c>
      <c r="F15" s="49" t="s">
        <v>171</v>
      </c>
    </row>
    <row r="16" s="54" customFormat="true" ht="16.5" hidden="false" customHeight="false" outlineLevel="0" collapsed="false">
      <c r="B16" s="64" t="s">
        <v>17</v>
      </c>
      <c r="C16" s="10" t="s">
        <v>172</v>
      </c>
      <c r="D16" s="10"/>
      <c r="E16" s="67" t="s">
        <v>82</v>
      </c>
      <c r="F16" s="112" t="n">
        <v>6</v>
      </c>
    </row>
    <row r="17" s="54" customFormat="true" ht="16.5" hidden="false" customHeight="false" outlineLevel="0" collapsed="false"/>
    <row r="18" s="3" customFormat="true" ht="16.5" hidden="false" customHeight="false" outlineLevel="0" collapsed="false">
      <c r="A18" s="54"/>
      <c r="B18" s="46" t="s">
        <v>173</v>
      </c>
      <c r="C18" s="74"/>
      <c r="D18" s="75"/>
      <c r="E18" s="76"/>
      <c r="F18" s="76"/>
    </row>
    <row r="19" s="3" customFormat="true" ht="16.5" hidden="false" customHeight="false" outlineLevel="0" collapsed="false">
      <c r="A19" s="54"/>
      <c r="B19" s="21" t="n">
        <v>3</v>
      </c>
      <c r="C19" s="61" t="s">
        <v>174</v>
      </c>
      <c r="D19" s="61"/>
      <c r="E19" s="61"/>
      <c r="F19" s="49" t="s">
        <v>171</v>
      </c>
    </row>
    <row r="20" s="3" customFormat="true" ht="16.5" hidden="false" customHeight="true" outlineLevel="0" collapsed="false">
      <c r="A20" s="54"/>
      <c r="B20" s="21" t="s">
        <v>17</v>
      </c>
      <c r="C20" s="59" t="s">
        <v>175</v>
      </c>
      <c r="D20" s="59"/>
      <c r="E20" s="59"/>
      <c r="F20" s="113" t="n">
        <v>56.24</v>
      </c>
    </row>
    <row r="21" customFormat="false" ht="16.5" hidden="false" customHeight="false" outlineLevel="0" collapsed="false">
      <c r="A21" s="54"/>
      <c r="B21" s="49" t="s">
        <v>19</v>
      </c>
      <c r="C21" s="114" t="s">
        <v>176</v>
      </c>
      <c r="D21" s="114"/>
      <c r="E21" s="114"/>
      <c r="F21" s="115" t="n">
        <v>5.55</v>
      </c>
    </row>
    <row r="22" s="3" customFormat="true" ht="15.95" hidden="false" customHeight="true" outlineLevel="0" collapsed="false">
      <c r="B22" s="49" t="s">
        <v>21</v>
      </c>
      <c r="C22" s="59" t="s">
        <v>177</v>
      </c>
      <c r="D22" s="59"/>
      <c r="E22" s="59"/>
      <c r="F22" s="116" t="n">
        <v>40</v>
      </c>
    </row>
    <row r="23" customFormat="false" ht="16.5" hidden="false" customHeight="true" outlineLevel="0" collapsed="false">
      <c r="A23" s="54"/>
      <c r="B23" s="49" t="s">
        <v>24</v>
      </c>
      <c r="C23" s="59" t="s">
        <v>178</v>
      </c>
      <c r="D23" s="59"/>
      <c r="E23" s="59"/>
      <c r="F23" s="113" t="n">
        <v>94.45</v>
      </c>
    </row>
    <row r="24" customFormat="false" ht="16.4" hidden="false" customHeight="false" outlineLevel="0" collapsed="false">
      <c r="A24" s="54"/>
      <c r="B24" s="49" t="s">
        <v>27</v>
      </c>
      <c r="C24" s="114" t="s">
        <v>179</v>
      </c>
      <c r="D24" s="114"/>
      <c r="E24" s="114"/>
      <c r="F24" s="112" t="n">
        <v>30</v>
      </c>
    </row>
    <row r="25" s="54" customFormat="true" ht="16.5" hidden="false" customHeight="false" outlineLevel="0" collapsed="false"/>
    <row r="26" s="3" customFormat="true" ht="16.5" hidden="false" customHeight="false" outlineLevel="0" collapsed="false">
      <c r="B26" s="46" t="s">
        <v>88</v>
      </c>
      <c r="C26" s="74"/>
      <c r="D26" s="75"/>
      <c r="E26" s="1"/>
      <c r="F26" s="1"/>
    </row>
    <row r="27" s="3" customFormat="true" ht="15" hidden="false" customHeight="true" outlineLevel="0" collapsed="false">
      <c r="B27" s="46" t="s">
        <v>89</v>
      </c>
      <c r="C27" s="74"/>
      <c r="D27" s="75"/>
      <c r="E27" s="76"/>
      <c r="F27" s="76"/>
    </row>
    <row r="28" s="3" customFormat="true" ht="16.5" hidden="false" customHeight="true" outlineLevel="0" collapsed="false">
      <c r="B28" s="21" t="s">
        <v>90</v>
      </c>
      <c r="C28" s="48" t="s">
        <v>91</v>
      </c>
      <c r="D28" s="48"/>
      <c r="E28" s="48"/>
      <c r="F28" s="49" t="s">
        <v>171</v>
      </c>
    </row>
    <row r="29" s="3" customFormat="true" ht="16.5" hidden="false" customHeight="true" outlineLevel="0" collapsed="false">
      <c r="B29" s="21" t="s">
        <v>17</v>
      </c>
      <c r="C29" s="59" t="s">
        <v>180</v>
      </c>
      <c r="D29" s="59"/>
      <c r="E29" s="59"/>
      <c r="F29" s="116" t="n">
        <v>8</v>
      </c>
    </row>
    <row r="30" customFormat="false" ht="16.5" hidden="false" customHeight="true" outlineLevel="0" collapsed="false">
      <c r="A30" s="3"/>
      <c r="B30" s="49" t="s">
        <v>19</v>
      </c>
      <c r="C30" s="25" t="s">
        <v>181</v>
      </c>
      <c r="D30" s="25"/>
      <c r="E30" s="25"/>
      <c r="F30" s="112" t="n">
        <v>20</v>
      </c>
    </row>
    <row r="31" customFormat="false" ht="16.5" hidden="false" customHeight="true" outlineLevel="0" collapsed="false">
      <c r="A31" s="3"/>
      <c r="B31" s="49" t="s">
        <v>21</v>
      </c>
      <c r="C31" s="59" t="s">
        <v>182</v>
      </c>
      <c r="D31" s="59"/>
      <c r="E31" s="59"/>
      <c r="F31" s="113" t="n">
        <v>1.42</v>
      </c>
    </row>
    <row r="32" customFormat="false" ht="16.5" hidden="false" customHeight="true" outlineLevel="0" collapsed="false">
      <c r="A32" s="3"/>
      <c r="B32" s="49" t="s">
        <v>24</v>
      </c>
      <c r="C32" s="25" t="s">
        <v>183</v>
      </c>
      <c r="D32" s="25"/>
      <c r="E32" s="25"/>
      <c r="F32" s="115" t="n">
        <v>45.22</v>
      </c>
    </row>
    <row r="33" s="3" customFormat="true" ht="15.95" hidden="false" customHeight="true" outlineLevel="0" collapsed="false">
      <c r="A33" s="1"/>
      <c r="B33" s="49" t="s">
        <v>27</v>
      </c>
      <c r="C33" s="59" t="s">
        <v>184</v>
      </c>
      <c r="D33" s="59"/>
      <c r="E33" s="59"/>
      <c r="F33" s="113" t="n">
        <f aca="false">(154800/34808000)*100</f>
        <v>0.444725350494139</v>
      </c>
    </row>
    <row r="34" customFormat="false" ht="15.75" hidden="false" customHeight="true" outlineLevel="0" collapsed="false">
      <c r="A34" s="3"/>
      <c r="B34" s="49" t="s">
        <v>86</v>
      </c>
      <c r="C34" s="25" t="s">
        <v>185</v>
      </c>
      <c r="D34" s="25"/>
      <c r="E34" s="25"/>
      <c r="F34" s="112" t="n">
        <v>15</v>
      </c>
    </row>
    <row r="35" customFormat="false" ht="15.75" hidden="false" customHeight="true" outlineLevel="0" collapsed="false">
      <c r="A35" s="3"/>
      <c r="B35" s="49" t="s">
        <v>167</v>
      </c>
      <c r="C35" s="59" t="s">
        <v>186</v>
      </c>
      <c r="D35" s="59"/>
      <c r="E35" s="59"/>
      <c r="F35" s="116" t="n">
        <v>180</v>
      </c>
    </row>
    <row r="36" customFormat="false" ht="16.5" hidden="false" customHeight="true" outlineLevel="0" collapsed="false">
      <c r="A36" s="3"/>
      <c r="B36" s="49" t="s">
        <v>169</v>
      </c>
      <c r="C36" s="25" t="s">
        <v>187</v>
      </c>
      <c r="D36" s="25"/>
      <c r="E36" s="25"/>
      <c r="F36" s="115" t="n">
        <v>54.78</v>
      </c>
    </row>
    <row r="37" s="54" customFormat="true" ht="8.25" hidden="false" customHeight="true" outlineLevel="0" collapsed="false"/>
    <row r="38" customFormat="false" ht="16.5" hidden="false" customHeight="false" outlineLevel="0" collapsed="false">
      <c r="B38" s="46" t="s">
        <v>188</v>
      </c>
      <c r="C38" s="74"/>
      <c r="D38" s="75"/>
      <c r="E38" s="76"/>
      <c r="F38" s="76"/>
    </row>
    <row r="39" customFormat="false" ht="16.5" hidden="false" customHeight="false" outlineLevel="0" collapsed="false">
      <c r="B39" s="21" t="s">
        <v>95</v>
      </c>
      <c r="C39" s="61" t="s">
        <v>189</v>
      </c>
      <c r="D39" s="61"/>
      <c r="E39" s="61"/>
      <c r="F39" s="49" t="s">
        <v>190</v>
      </c>
    </row>
    <row r="40" customFormat="false" ht="16.5" hidden="false" customHeight="true" outlineLevel="0" collapsed="false">
      <c r="B40" s="21" t="s">
        <v>17</v>
      </c>
      <c r="C40" s="79" t="s">
        <v>98</v>
      </c>
      <c r="D40" s="79"/>
      <c r="E40" s="79"/>
      <c r="F40" s="109" t="n">
        <f aca="false">PERC_HORA_EXTRA</f>
        <v>0</v>
      </c>
    </row>
    <row r="41" customFormat="false" ht="15" hidden="false" customHeight="true" outlineLevel="0" collapsed="false">
      <c r="B41" s="21" t="s">
        <v>19</v>
      </c>
      <c r="C41" s="25" t="s">
        <v>99</v>
      </c>
      <c r="D41" s="25"/>
      <c r="E41" s="25"/>
      <c r="F41" s="110" t="n">
        <f aca="false">TEMPO_INTERVALO_REFEICAO</f>
        <v>0</v>
      </c>
    </row>
    <row r="42" s="54" customFormat="true" ht="16.5" hidden="false" customHeight="false" outlineLevel="0" collapsed="false"/>
    <row r="43" customFormat="false" ht="20.25" hidden="false" customHeight="false" outlineLevel="0" collapsed="false">
      <c r="B43" s="89" t="s">
        <v>120</v>
      </c>
      <c r="C43" s="90"/>
      <c r="D43" s="90"/>
      <c r="E43" s="90"/>
      <c r="F43" s="91"/>
    </row>
    <row r="44" customFormat="false" ht="33.75" hidden="false" customHeight="true" outlineLevel="0" collapsed="false">
      <c r="B44" s="92" t="s">
        <v>121</v>
      </c>
      <c r="C44" s="92"/>
      <c r="D44" s="92"/>
      <c r="E44" s="92"/>
      <c r="F44" s="92"/>
    </row>
    <row r="1048576" customFormat="false" ht="12.8" hidden="false" customHeight="false" outlineLevel="0" collapsed="false"/>
  </sheetData>
  <mergeCells count="30">
    <mergeCell ref="C3:E3"/>
    <mergeCell ref="C4:E4"/>
    <mergeCell ref="C5:E5"/>
    <mergeCell ref="C6:E6"/>
    <mergeCell ref="C7:E7"/>
    <mergeCell ref="C8:E8"/>
    <mergeCell ref="C9:E9"/>
    <mergeCell ref="C10:E10"/>
    <mergeCell ref="C11:E11"/>
    <mergeCell ref="C15:D15"/>
    <mergeCell ref="C16:D16"/>
    <mergeCell ref="C19:E19"/>
    <mergeCell ref="C20:E20"/>
    <mergeCell ref="C21:E21"/>
    <mergeCell ref="C22:E22"/>
    <mergeCell ref="C23:E23"/>
    <mergeCell ref="C24:E24"/>
    <mergeCell ref="C28:E28"/>
    <mergeCell ref="C29:E29"/>
    <mergeCell ref="C30:E30"/>
    <mergeCell ref="C31:E31"/>
    <mergeCell ref="C32:E32"/>
    <mergeCell ref="C33:E33"/>
    <mergeCell ref="C34:E34"/>
    <mergeCell ref="C35:E35"/>
    <mergeCell ref="C36:E36"/>
    <mergeCell ref="C39:E39"/>
    <mergeCell ref="C40:E40"/>
    <mergeCell ref="C41:E41"/>
    <mergeCell ref="B44:F44"/>
  </mergeCells>
  <dataValidations count="1">
    <dataValidation allowBlank="true" operator="between" prompt="Segundo estudos da Audin-MPU, esse item não é usual nas planilhas do MPU. Verifique se realmente há necessidade de incluí-lo." promptTitle="Intervalo Intrajornada" showDropDown="false" showErrorMessage="true" showInputMessage="true" sqref="F40:F41" type="none">
      <formula1>0</formula1>
      <formula2>0</formula2>
    </dataValidation>
  </dataValidations>
  <printOptions headings="false" gridLines="false" gridLinesSet="true" horizontalCentered="false" verticalCentered="false"/>
  <pageMargins left="0.511805555555555" right="0.511805555555555" top="0.7875" bottom="0.7875" header="0.511805555555555" footer="0.511805555555555"/>
  <pageSetup paperSize="9" scale="8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B1:G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G12" activeCellId="0" sqref="G12"/>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22.01"/>
    <col collapsed="false" customWidth="true" hidden="false" outlineLevel="0" max="5" min="5" style="1" width="13.57"/>
    <col collapsed="false" customWidth="true" hidden="false" outlineLevel="0" max="6" min="6" style="1" width="38.86"/>
    <col collapsed="false" customWidth="true" hidden="false" outlineLevel="0" max="7" min="7" style="1" width="50.41"/>
    <col collapsed="false" customWidth="true" hidden="false" outlineLevel="0" max="1025" min="8" style="1" width="9.13"/>
  </cols>
  <sheetData>
    <row r="1" s="3" customFormat="true" ht="25.5" hidden="false" customHeight="false" outlineLevel="0" collapsed="false">
      <c r="B1" s="45" t="s">
        <v>191</v>
      </c>
      <c r="C1" s="1"/>
      <c r="D1" s="1"/>
      <c r="E1" s="1"/>
      <c r="F1" s="1"/>
      <c r="G1" s="1"/>
    </row>
    <row r="2" customFormat="false" ht="16.5" hidden="false" customHeight="false" outlineLevel="0" collapsed="false">
      <c r="B2" s="46" t="s">
        <v>57</v>
      </c>
      <c r="E2" s="56"/>
    </row>
    <row r="3" customFormat="false" ht="16.5" hidden="false" customHeight="false" outlineLevel="0" collapsed="false">
      <c r="B3" s="46" t="s">
        <v>192</v>
      </c>
      <c r="C3" s="74"/>
      <c r="D3" s="75"/>
      <c r="E3" s="76"/>
    </row>
    <row r="4" customFormat="false" ht="16.5" hidden="false" customHeight="false" outlineLevel="0" collapsed="false">
      <c r="B4" s="21" t="s">
        <v>193</v>
      </c>
      <c r="C4" s="61" t="s">
        <v>194</v>
      </c>
      <c r="D4" s="61"/>
      <c r="E4" s="49" t="s">
        <v>92</v>
      </c>
      <c r="F4" s="49" t="s">
        <v>195</v>
      </c>
    </row>
    <row r="5" customFormat="false" ht="16.5" hidden="false" customHeight="true" outlineLevel="0" collapsed="false">
      <c r="B5" s="21" t="s">
        <v>17</v>
      </c>
      <c r="C5" s="59" t="s">
        <v>196</v>
      </c>
      <c r="D5" s="59"/>
      <c r="E5" s="117" t="n">
        <f aca="false">(1/MESES_NO_ANO)*100</f>
        <v>8.33333333333333</v>
      </c>
      <c r="F5" s="117" t="s">
        <v>197</v>
      </c>
    </row>
    <row r="6" s="118" customFormat="true" ht="16.5" hidden="false" customHeight="true" outlineLevel="0" collapsed="false">
      <c r="B6" s="49" t="s">
        <v>19</v>
      </c>
      <c r="C6" s="25" t="s">
        <v>198</v>
      </c>
      <c r="D6" s="25"/>
      <c r="E6" s="119" t="n">
        <f aca="false">(1/3)/MESES_NO_ANO*100</f>
        <v>2.77777777777778</v>
      </c>
      <c r="F6" s="119" t="s">
        <v>199</v>
      </c>
    </row>
    <row r="7" s="54" customFormat="true" ht="16.5" hidden="false" customHeight="true" outlineLevel="0" collapsed="false">
      <c r="B7" s="120" t="s">
        <v>58</v>
      </c>
      <c r="C7" s="120"/>
      <c r="D7" s="120"/>
      <c r="E7" s="120"/>
      <c r="F7" s="120"/>
    </row>
    <row r="8" s="54" customFormat="true" ht="34.5" hidden="false" customHeight="true" outlineLevel="0" collapsed="false">
      <c r="B8" s="21" t="s">
        <v>59</v>
      </c>
      <c r="C8" s="58" t="s">
        <v>60</v>
      </c>
      <c r="D8" s="58"/>
      <c r="E8" s="49" t="s">
        <v>92</v>
      </c>
    </row>
    <row r="9" customFormat="false" ht="16.5" hidden="false" customHeight="true" outlineLevel="0" collapsed="false">
      <c r="B9" s="21" t="s">
        <v>17</v>
      </c>
      <c r="C9" s="59" t="s">
        <v>200</v>
      </c>
      <c r="D9" s="59"/>
      <c r="E9" s="121" t="n">
        <v>20</v>
      </c>
    </row>
    <row r="10" s="3" customFormat="true" ht="16.5" hidden="false" customHeight="true" outlineLevel="0" collapsed="false">
      <c r="B10" s="49" t="s">
        <v>19</v>
      </c>
      <c r="C10" s="25" t="s">
        <v>201</v>
      </c>
      <c r="D10" s="25"/>
      <c r="E10" s="121" t="n">
        <v>2.5</v>
      </c>
    </row>
    <row r="11" s="3" customFormat="true" ht="16.5" hidden="false" customHeight="true" outlineLevel="0" collapsed="false">
      <c r="B11" s="49" t="s">
        <v>21</v>
      </c>
      <c r="C11" s="59" t="s">
        <v>202</v>
      </c>
      <c r="D11" s="59"/>
      <c r="E11" s="121" t="n">
        <f aca="false">3*'INSERÇÃO-DE-DADOS_MÃO DE OBRA'!F41</f>
        <v>3</v>
      </c>
    </row>
    <row r="12" s="3" customFormat="true" ht="16.5" hidden="false" customHeight="true" outlineLevel="0" collapsed="false">
      <c r="B12" s="49" t="s">
        <v>24</v>
      </c>
      <c r="C12" s="25" t="s">
        <v>203</v>
      </c>
      <c r="D12" s="25"/>
      <c r="E12" s="122" t="n">
        <v>1.5</v>
      </c>
    </row>
    <row r="13" s="3" customFormat="true" ht="16.5" hidden="false" customHeight="true" outlineLevel="0" collapsed="false">
      <c r="B13" s="49" t="s">
        <v>27</v>
      </c>
      <c r="C13" s="59" t="s">
        <v>204</v>
      </c>
      <c r="D13" s="59"/>
      <c r="E13" s="121" t="n">
        <v>1</v>
      </c>
    </row>
    <row r="14" s="13" customFormat="true" ht="16.5" hidden="false" customHeight="true" outlineLevel="0" collapsed="false">
      <c r="B14" s="49" t="s">
        <v>86</v>
      </c>
      <c r="C14" s="25" t="s">
        <v>205</v>
      </c>
      <c r="D14" s="25"/>
      <c r="E14" s="121" t="n">
        <v>0.6</v>
      </c>
    </row>
    <row r="15" s="13" customFormat="true" ht="16.5" hidden="false" customHeight="true" outlineLevel="0" collapsed="false">
      <c r="B15" s="49" t="s">
        <v>167</v>
      </c>
      <c r="C15" s="59" t="s">
        <v>206</v>
      </c>
      <c r="D15" s="59"/>
      <c r="E15" s="121" t="n">
        <v>0.2</v>
      </c>
    </row>
    <row r="16" customFormat="false" ht="16.5" hidden="false" customHeight="true" outlineLevel="0" collapsed="false">
      <c r="B16" s="49" t="s">
        <v>169</v>
      </c>
      <c r="C16" s="25" t="s">
        <v>207</v>
      </c>
      <c r="D16" s="25"/>
      <c r="E16" s="121" t="n">
        <v>8</v>
      </c>
    </row>
    <row r="17" customFormat="false" ht="16.5" hidden="false" customHeight="false" outlineLevel="0" collapsed="false">
      <c r="B17" s="61" t="s">
        <v>63</v>
      </c>
      <c r="C17" s="61"/>
      <c r="D17" s="61"/>
      <c r="E17" s="123" t="n">
        <f aca="false">SUM(E9:E16)</f>
        <v>36.8</v>
      </c>
    </row>
    <row r="18" s="54" customFormat="true" ht="16.5" hidden="false" customHeight="false" outlineLevel="0" collapsed="false">
      <c r="B18" s="46" t="s">
        <v>173</v>
      </c>
      <c r="C18" s="74"/>
      <c r="D18" s="75"/>
      <c r="E18" s="76"/>
    </row>
    <row r="19" s="54" customFormat="true" ht="15" hidden="false" customHeight="true" outlineLevel="0" collapsed="false">
      <c r="B19" s="21" t="n">
        <v>3</v>
      </c>
      <c r="C19" s="61" t="s">
        <v>174</v>
      </c>
      <c r="D19" s="61"/>
      <c r="E19" s="49" t="s">
        <v>92</v>
      </c>
      <c r="F19" s="49" t="s">
        <v>195</v>
      </c>
    </row>
    <row r="20" s="54" customFormat="true" ht="15.75" hidden="false" customHeight="false" outlineLevel="0" collapsed="false">
      <c r="B20" s="21" t="s">
        <v>17</v>
      </c>
      <c r="C20" s="124" t="s">
        <v>208</v>
      </c>
      <c r="D20" s="124"/>
      <c r="E20" s="117" t="n">
        <f aca="false">PERC_EMPREG_DEMIT_SEM_JUSTA_CAUSA_TOTAL_DESLIG%*PERC_EMPREG_AVISO_PREVIO_IND%*1/MESES_NO_ANO*100</f>
        <v>0.26011</v>
      </c>
      <c r="F20" s="117" t="s">
        <v>209</v>
      </c>
    </row>
    <row r="21" s="54" customFormat="true" ht="16.4" hidden="false" customHeight="false" outlineLevel="0" collapsed="false">
      <c r="B21" s="49" t="s">
        <v>19</v>
      </c>
      <c r="C21" s="125" t="s">
        <v>210</v>
      </c>
      <c r="D21" s="125"/>
      <c r="E21" s="126" t="n">
        <f aca="false">PERC_EMPREG_DEMIT_SEM_JUSTA_CAUSA_TOTAL_DESLIG%*PERC_EMPREG_AVISO_PREVIO_TRAB%*(DIAS_NA_SEMANA/DIAS_NO_MES)/MESES_NO_ANO*100</f>
        <v>1.03286322222222</v>
      </c>
      <c r="F21" s="119" t="s">
        <v>211</v>
      </c>
    </row>
    <row r="22" s="3" customFormat="true" ht="16.4" hidden="false" customHeight="false" outlineLevel="0" collapsed="false">
      <c r="B22" s="49" t="s">
        <v>21</v>
      </c>
      <c r="C22" s="125" t="s">
        <v>212</v>
      </c>
      <c r="D22" s="125"/>
      <c r="E22" s="126" t="n">
        <f aca="false">ROUNDUP(PERC_AVISO_PREVIO_TRAB%*PERC_MULTA_FGTS%*PERC_FGTS%*100,2)</f>
        <v>0.04</v>
      </c>
      <c r="F22" s="119" t="s">
        <v>213</v>
      </c>
    </row>
    <row r="23" s="3" customFormat="true" ht="15.95" hidden="false" customHeight="true" outlineLevel="0" collapsed="false">
      <c r="B23" s="46" t="s">
        <v>88</v>
      </c>
      <c r="C23" s="74"/>
      <c r="D23" s="75"/>
      <c r="E23" s="1"/>
    </row>
    <row r="24" s="3" customFormat="true" ht="15.95" hidden="false" customHeight="true" outlineLevel="0" collapsed="false">
      <c r="B24" s="46" t="s">
        <v>89</v>
      </c>
      <c r="C24" s="74"/>
      <c r="D24" s="75"/>
      <c r="E24" s="76"/>
    </row>
    <row r="25" s="3" customFormat="true" ht="16.5" hidden="false" customHeight="true" outlineLevel="0" collapsed="false">
      <c r="B25" s="21" t="s">
        <v>90</v>
      </c>
      <c r="C25" s="48" t="s">
        <v>91</v>
      </c>
      <c r="D25" s="48"/>
      <c r="E25" s="49" t="s">
        <v>92</v>
      </c>
      <c r="F25" s="49" t="s">
        <v>195</v>
      </c>
    </row>
    <row r="26" s="3" customFormat="true" ht="15.95" hidden="false" customHeight="true" outlineLevel="0" collapsed="false">
      <c r="B26" s="49" t="s">
        <v>17</v>
      </c>
      <c r="C26" s="59" t="s">
        <v>214</v>
      </c>
      <c r="D26" s="59"/>
      <c r="E26" s="117" t="n">
        <f aca="false">(1/MESES_NO_ANO)*100</f>
        <v>8.33333333333333</v>
      </c>
      <c r="F26" s="117" t="s">
        <v>215</v>
      </c>
    </row>
    <row r="27" s="3" customFormat="true" ht="15.95" hidden="false" customHeight="true" outlineLevel="0" collapsed="false">
      <c r="B27" s="49" t="s">
        <v>19</v>
      </c>
      <c r="C27" s="25" t="s">
        <v>216</v>
      </c>
      <c r="D27" s="25"/>
      <c r="E27" s="126" t="n">
        <f aca="false">(8/30)/12*100</f>
        <v>2.22222222222222</v>
      </c>
      <c r="F27" s="119" t="s">
        <v>217</v>
      </c>
    </row>
    <row r="28" s="3" customFormat="true" ht="15.95" hidden="false" customHeight="true" outlineLevel="0" collapsed="false">
      <c r="B28" s="49" t="s">
        <v>21</v>
      </c>
      <c r="C28" s="59" t="s">
        <v>218</v>
      </c>
      <c r="D28" s="59"/>
      <c r="E28" s="117" t="n">
        <f aca="false">(((DIAS_LICENCA_PATERNIDADE/DIAS_NO_MES)/MESES_NO_ANO)*PERC_NASCIDOS_VIVOS_POPUL_FEM%*PERC_PARTIC_MASC_VIGIL%)*100</f>
        <v>0.0356735555555555</v>
      </c>
      <c r="F28" s="117" t="s">
        <v>219</v>
      </c>
    </row>
    <row r="29" s="3" customFormat="true" ht="16.5" hidden="false" customHeight="true" outlineLevel="0" collapsed="false">
      <c r="B29" s="49" t="s">
        <v>24</v>
      </c>
      <c r="C29" s="25" t="s">
        <v>220</v>
      </c>
      <c r="D29" s="25"/>
      <c r="E29" s="126" t="n">
        <f aca="false">(DIAS_PAGOS_EMPRESA_ACID_TRAB/DIAS_NO_MES)/MESES_NO_ANO*PERC_EMPREG_AFAST_TRAB%*100</f>
        <v>0.0185302229372558</v>
      </c>
      <c r="F29" s="119" t="s">
        <v>221</v>
      </c>
    </row>
    <row r="30" s="3" customFormat="true" ht="33" hidden="false" customHeight="true" outlineLevel="0" collapsed="false">
      <c r="B30" s="49" t="s">
        <v>27</v>
      </c>
      <c r="C30" s="59" t="s">
        <v>222</v>
      </c>
      <c r="D30" s="59"/>
      <c r="E30" s="117" t="n">
        <f aca="false">(((180/30)/12)*1.416%*54.78%*36.8%*100)</f>
        <v>0.1427260032</v>
      </c>
      <c r="F30" s="117" t="s">
        <v>223</v>
      </c>
    </row>
    <row r="31" s="3" customFormat="true" ht="16.5" hidden="false" customHeight="false" outlineLevel="0" collapsed="false">
      <c r="B31" s="49" t="s">
        <v>86</v>
      </c>
      <c r="C31" s="25" t="str">
        <f aca="false">OUTRAS_AUSENCIAS_DESCRICAO</f>
        <v>Outras Ausências (Especificar em %)</v>
      </c>
      <c r="D31" s="25"/>
      <c r="E31" s="126" t="n">
        <f aca="false">PERC_SUBSTITUTO_OUTRAS_AUSENCIAS</f>
        <v>0</v>
      </c>
      <c r="F31" s="119"/>
      <c r="G31" s="1"/>
    </row>
    <row r="32" customFormat="false" ht="16.5" hidden="false" customHeight="false" outlineLevel="0" collapsed="false">
      <c r="G32" s="91"/>
    </row>
    <row r="33" customFormat="false" ht="20.25" hidden="false" customHeight="false" outlineLevel="0" collapsed="false">
      <c r="B33" s="89" t="s">
        <v>120</v>
      </c>
      <c r="C33" s="90"/>
      <c r="D33" s="90"/>
      <c r="E33" s="90"/>
      <c r="G33" s="127"/>
    </row>
    <row r="34" customFormat="false" ht="43.5" hidden="false" customHeight="true" outlineLevel="0" collapsed="false">
      <c r="B34" s="92" t="s">
        <v>121</v>
      </c>
      <c r="C34" s="92"/>
      <c r="D34" s="92"/>
      <c r="E34" s="92"/>
      <c r="F34" s="92"/>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5">
    <mergeCell ref="C4:D4"/>
    <mergeCell ref="C5:D5"/>
    <mergeCell ref="C6:D6"/>
    <mergeCell ref="B7:F7"/>
    <mergeCell ref="C8:D8"/>
    <mergeCell ref="C9:D9"/>
    <mergeCell ref="C10:D10"/>
    <mergeCell ref="C11:D11"/>
    <mergeCell ref="C12:D12"/>
    <mergeCell ref="C13:D13"/>
    <mergeCell ref="C14:D14"/>
    <mergeCell ref="C15:D15"/>
    <mergeCell ref="C16:D16"/>
    <mergeCell ref="B17:D17"/>
    <mergeCell ref="C19:D19"/>
    <mergeCell ref="C20:D20"/>
    <mergeCell ref="C21:D21"/>
    <mergeCell ref="C22:D22"/>
    <mergeCell ref="C25:D25"/>
    <mergeCell ref="C26:D26"/>
    <mergeCell ref="C28:D28"/>
    <mergeCell ref="C29:D29"/>
    <mergeCell ref="C30:D30"/>
    <mergeCell ref="C31:D31"/>
    <mergeCell ref="B34:F34"/>
  </mergeCells>
  <dataValidations count="2">
    <dataValidation allowBlank="true" error="O percentual do Aviso Prévio Indenizado deverá ser inferior a 0,64%, conforme determinou o Tribunal de Contas da União por meio do Acórdão nº 1.904/2007 - Plenário." errorTitle="Erro na inserção de dados." operator="between" showDropDown="false" showErrorMessage="true" showInputMessage="true" sqref="E20" type="decimal">
      <formula1>0</formula1>
      <formula2>0.46</formula2>
    </dataValidation>
    <dataValidation allowBlank="true" error="O percentual do Aviso Prévio Indenizado deverá ser inferior a 1,94%, conforme determinou o Tribunal de Contas da União por meio do Acórdão nº 1.904/2007 - Plenário." errorTitle="Erro na inserção de dados." operator="between" showDropDown="false" showErrorMessage="true" showInputMessage="true" sqref="E21" type="decimal">
      <formula1>0</formula1>
      <formula2>1.94</formula2>
    </dataValidation>
  </dataValidations>
  <printOptions headings="false" gridLines="false" gridLinesSet="true" horizontalCentered="false" verticalCentered="false"/>
  <pageMargins left="0.179861111111111" right="0.170138888888889" top="0.140277777777778" bottom="0.0402777777777778" header="0.511805555555555" footer="0.511805555555555"/>
  <pageSetup paperSize="9" scale="83"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B1:G1048576"/>
  <sheetViews>
    <sheetView showFormulas="false" showGridLines="true" showRowColHeaders="true" showZeros="true" rightToLeft="false" tabSelected="false" showOutlineSymbols="true" defaultGridColor="true" view="normal" topLeftCell="A49" colorId="64" zoomScale="80" zoomScaleNormal="80" zoomScalePageLayoutView="100" workbookViewId="0">
      <selection pane="topLeft" activeCell="J52" activeCellId="0" sqref="J52"/>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1025" min="7" style="1" width="9.13"/>
  </cols>
  <sheetData>
    <row r="1" customFormat="false" ht="20.25" hidden="false" customHeight="false" outlineLevel="0" collapsed="false">
      <c r="B1" s="128" t="str">
        <f aca="false">RAMO</f>
        <v>RAMO: MINISTÉRIO PÚBLICO FEDERAL</v>
      </c>
      <c r="C1" s="128"/>
      <c r="D1" s="128"/>
      <c r="E1" s="128"/>
      <c r="F1" s="128"/>
    </row>
    <row r="2" customFormat="false" ht="20.25" hidden="false" customHeight="true" outlineLevel="0" collapsed="false">
      <c r="B2" s="129" t="str">
        <f aca="false">UG</f>
        <v>UNIDADE GESTORA (SIGLA): PRMS</v>
      </c>
      <c r="C2" s="129"/>
      <c r="D2" s="129"/>
      <c r="E2" s="130" t="s">
        <v>2</v>
      </c>
      <c r="F2" s="131" t="n">
        <f aca="false">IF(DATA_DO_ORCAMENTO_ESTIMATIVO="","",DATA_DO_ORCAMENTO_ESTIMATIVO)</f>
        <v>44915</v>
      </c>
    </row>
    <row r="3" s="3" customFormat="true" ht="25.5" hidden="false" customHeight="true" outlineLevel="0" collapsed="false">
      <c r="B3" s="6" t="s">
        <v>224</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225</v>
      </c>
      <c r="C5" s="8"/>
      <c r="D5" s="132" t="str">
        <f aca="false">NUMERO_PROCESSO</f>
        <v>1.21.000.000675/2022-97</v>
      </c>
      <c r="E5" s="132"/>
      <c r="F5" s="132"/>
    </row>
    <row r="6" s="3" customFormat="true" ht="15.75" hidden="false" customHeight="true" outlineLevel="0" collapsed="false">
      <c r="B6" s="10" t="s">
        <v>226</v>
      </c>
      <c r="C6" s="10"/>
      <c r="D6" s="133" t="str">
        <f aca="false">MODALIDADE_DE_LICITACAO</f>
        <v>Pregão nº</v>
      </c>
      <c r="E6" s="133"/>
      <c r="F6" s="134" t="str">
        <f aca="false">NUMERO_PREGAO</f>
        <v>1/2022</v>
      </c>
    </row>
    <row r="7" s="13" customFormat="true" ht="15.75" hidden="false" customHeight="true" outlineLevel="0" collapsed="false">
      <c r="B7" s="135" t="s">
        <v>227</v>
      </c>
      <c r="C7" s="135"/>
      <c r="D7" s="135"/>
      <c r="E7" s="135"/>
      <c r="F7" s="135"/>
    </row>
    <row r="8" s="3" customFormat="true" ht="18" hidden="false" customHeight="true" outlineLevel="0" collapsed="false">
      <c r="B8" s="19" t="s">
        <v>17</v>
      </c>
      <c r="C8" s="8" t="s">
        <v>228</v>
      </c>
      <c r="D8" s="8"/>
      <c r="E8" s="8"/>
      <c r="F8" s="136" t="s">
        <v>229</v>
      </c>
    </row>
    <row r="9" s="3" customFormat="true" ht="15.95" hidden="false" customHeight="true" outlineLevel="0" collapsed="false">
      <c r="B9" s="21" t="s">
        <v>19</v>
      </c>
      <c r="C9" s="22" t="s">
        <v>20</v>
      </c>
      <c r="D9" s="114" t="str">
        <f aca="false">IF(LOCAL_DE_EXECUCAO="","",LOCAL_DE_EXECUCAO)</f>
        <v/>
      </c>
      <c r="E9" s="114"/>
      <c r="F9" s="114"/>
    </row>
    <row r="10" s="3" customFormat="true" ht="18.75" hidden="false" customHeight="true" outlineLevel="0" collapsed="false">
      <c r="B10" s="19" t="s">
        <v>21</v>
      </c>
      <c r="C10" s="8" t="s">
        <v>25</v>
      </c>
      <c r="D10" s="8"/>
      <c r="E10" s="8"/>
      <c r="F10" s="137" t="str">
        <f aca="false">ACORDO_COLETIVO</f>
        <v>01/2022</v>
      </c>
    </row>
    <row r="11" s="3" customFormat="true" ht="15.95" hidden="false" customHeight="true" outlineLevel="0" collapsed="false">
      <c r="B11" s="21" t="s">
        <v>24</v>
      </c>
      <c r="C11" s="114" t="s">
        <v>28</v>
      </c>
      <c r="D11" s="114"/>
      <c r="E11" s="114"/>
      <c r="F11" s="67" t="n">
        <f aca="false">NUMERO_MESES_EXEC_CONTRATUAL</f>
        <v>12</v>
      </c>
    </row>
    <row r="12" s="3" customFormat="true" ht="16.5" hidden="false" customHeight="false" outlineLevel="0" collapsed="false">
      <c r="B12" s="21" t="s">
        <v>27</v>
      </c>
      <c r="C12" s="138" t="s">
        <v>230</v>
      </c>
      <c r="D12" s="138"/>
      <c r="E12" s="138"/>
      <c r="F12" s="26" t="n">
        <f aca="false">IF(QTDE_DE_ENC=0,"",QTDE_DE_ENC)</f>
        <v>1</v>
      </c>
    </row>
    <row r="13" s="139" customFormat="true" ht="15" hidden="false" customHeight="true" outlineLevel="0" collapsed="false">
      <c r="B13" s="140" t="s">
        <v>49</v>
      </c>
      <c r="C13" s="141"/>
      <c r="D13" s="141"/>
      <c r="E13" s="141"/>
      <c r="F13" s="141"/>
    </row>
    <row r="14" s="3" customFormat="true" ht="16.5" hidden="false" customHeight="false" outlineLevel="0" collapsed="false">
      <c r="B14" s="19" t="n">
        <v>1</v>
      </c>
      <c r="C14" s="8" t="s">
        <v>43</v>
      </c>
      <c r="D14" s="8"/>
      <c r="E14" s="26" t="str">
        <f aca="false">TIPO_DE_SERVICO</f>
        <v>Limpeza e Conservação</v>
      </c>
      <c r="F14" s="26"/>
    </row>
    <row r="15" s="13" customFormat="true" ht="16.5" hidden="false" customHeight="false" outlineLevel="0" collapsed="false">
      <c r="B15" s="19" t="n">
        <v>2</v>
      </c>
      <c r="C15" s="39" t="s">
        <v>45</v>
      </c>
      <c r="D15" s="142" t="str">
        <f aca="false">CBO</f>
        <v>5143-20</v>
      </c>
      <c r="E15" s="142"/>
      <c r="F15" s="142"/>
    </row>
    <row r="16" s="3" customFormat="true" ht="15" hidden="false" customHeight="true" outlineLevel="0" collapsed="false">
      <c r="B16" s="19" t="n">
        <v>3</v>
      </c>
      <c r="C16" s="143" t="s">
        <v>231</v>
      </c>
      <c r="D16" s="132" t="str">
        <f aca="false">CATEGORIA_PROFISSIONAL_ENC</f>
        <v>Encarregado de Limpeza</v>
      </c>
      <c r="E16" s="132"/>
      <c r="F16" s="132"/>
    </row>
    <row r="17" s="3" customFormat="true" ht="15" hidden="false" customHeight="true" outlineLevel="0" collapsed="false">
      <c r="B17" s="19" t="n">
        <v>4</v>
      </c>
      <c r="C17" s="144" t="s">
        <v>47</v>
      </c>
      <c r="D17" s="144"/>
      <c r="E17" s="144"/>
      <c r="F17" s="145" t="n">
        <f aca="false">DATA_BASE_CATEGORIA</f>
        <v>44562</v>
      </c>
    </row>
    <row r="18" s="146" customFormat="true" ht="20.25" hidden="false" customHeight="true" outlineLevel="0" collapsed="false">
      <c r="B18" s="147" t="s">
        <v>232</v>
      </c>
      <c r="C18" s="147"/>
      <c r="D18" s="147"/>
      <c r="E18" s="147"/>
      <c r="F18" s="147"/>
    </row>
    <row r="19" customFormat="false" ht="16.5" hidden="false" customHeight="false" outlineLevel="0" collapsed="false">
      <c r="B19" s="46" t="s">
        <v>50</v>
      </c>
      <c r="E19" s="47"/>
      <c r="F19" s="47"/>
    </row>
    <row r="20" customFormat="false" ht="16.5" hidden="false" customHeight="true" outlineLevel="0" collapsed="false">
      <c r="B20" s="21" t="n">
        <v>1</v>
      </c>
      <c r="C20" s="48" t="s">
        <v>51</v>
      </c>
      <c r="D20" s="48"/>
      <c r="E20" s="48"/>
      <c r="F20" s="49" t="s">
        <v>104</v>
      </c>
    </row>
    <row r="21" customFormat="false" ht="16.5" hidden="false" customHeight="true" outlineLevel="0" collapsed="false">
      <c r="B21" s="21" t="s">
        <v>17</v>
      </c>
      <c r="C21" s="79" t="s">
        <v>233</v>
      </c>
      <c r="D21" s="79"/>
      <c r="E21" s="79"/>
      <c r="F21" s="148" t="n">
        <f aca="false">SALARIO_NORMATIVO_ENC</f>
        <v>1217</v>
      </c>
    </row>
    <row r="22" customFormat="false" ht="16.5" hidden="false" customHeight="true" outlineLevel="0" collapsed="false">
      <c r="B22" s="21" t="s">
        <v>19</v>
      </c>
      <c r="C22" s="25" t="s">
        <v>234</v>
      </c>
      <c r="D22" s="25"/>
      <c r="E22" s="25"/>
      <c r="F22" s="149" t="n">
        <f aca="false">IF(ADIC_INSALUB_ENC="SIM",PERC_ADIC_INSALUB%*SAL_MINIMO,0)</f>
        <v>0</v>
      </c>
    </row>
    <row r="23" customFormat="false" ht="16.5" hidden="false" customHeight="false" outlineLevel="0" collapsed="false">
      <c r="B23" s="21" t="s">
        <v>21</v>
      </c>
      <c r="C23" s="79" t="str">
        <f aca="false">OUTROS_REMUNERACAO_1_DESCRICAO</f>
        <v>Gratificação de função (Apenas para encarregada)</v>
      </c>
      <c r="D23" s="79"/>
      <c r="E23" s="79"/>
      <c r="F23" s="148" t="n">
        <f aca="false">OUTROS_REMUNERACAO_1</f>
        <v>170.26</v>
      </c>
    </row>
    <row r="24" customFormat="false" ht="16.5" hidden="false" customHeight="false" outlineLevel="0" collapsed="false">
      <c r="B24" s="21" t="s">
        <v>24</v>
      </c>
      <c r="C24" s="50" t="str">
        <f aca="false">OUTROS_REMUNERACAO_2_DESCRICAO</f>
        <v>Outras Remunerações 2 (Especificar)</v>
      </c>
      <c r="D24" s="50"/>
      <c r="E24" s="50"/>
      <c r="F24" s="149" t="n">
        <f aca="false">OUTROS_REMUNERACAO_2</f>
        <v>0</v>
      </c>
    </row>
    <row r="25" customFormat="false" ht="16.5" hidden="false" customHeight="false" outlineLevel="0" collapsed="false">
      <c r="B25" s="21" t="s">
        <v>27</v>
      </c>
      <c r="C25" s="79" t="str">
        <f aca="false">OUTROS_REMUNERACAO_3_DESCRICAO</f>
        <v>Outras Remunerações 3 (Especificar)</v>
      </c>
      <c r="D25" s="79"/>
      <c r="E25" s="79"/>
      <c r="F25" s="148" t="n">
        <f aca="false">OUTROS_REMUNERACAO_3</f>
        <v>0</v>
      </c>
    </row>
    <row r="26" customFormat="false" ht="16.5" hidden="false" customHeight="true" outlineLevel="0" collapsed="false">
      <c r="B26" s="48" t="s">
        <v>63</v>
      </c>
      <c r="C26" s="48"/>
      <c r="D26" s="48"/>
      <c r="E26" s="48"/>
      <c r="F26" s="150" t="n">
        <f aca="false">SUM(F21:F25)</f>
        <v>1387.26</v>
      </c>
    </row>
    <row r="27" customFormat="false" ht="16.5" hidden="false" customHeight="false" outlineLevel="0" collapsed="false">
      <c r="B27" s="46" t="s">
        <v>57</v>
      </c>
      <c r="E27" s="56"/>
      <c r="F27" s="56"/>
    </row>
    <row r="28" customFormat="false" ht="16.5" hidden="false" customHeight="false" outlineLevel="0" collapsed="false">
      <c r="B28" s="46" t="s">
        <v>192</v>
      </c>
      <c r="C28" s="74"/>
      <c r="D28" s="75"/>
      <c r="E28" s="76"/>
      <c r="F28" s="76"/>
    </row>
    <row r="29" customFormat="false" ht="16.5" hidden="false" customHeight="false" outlineLevel="0" collapsed="false">
      <c r="B29" s="21" t="s">
        <v>193</v>
      </c>
      <c r="C29" s="61" t="s">
        <v>194</v>
      </c>
      <c r="D29" s="61"/>
      <c r="E29" s="49" t="s">
        <v>92</v>
      </c>
      <c r="F29" s="49" t="s">
        <v>104</v>
      </c>
    </row>
    <row r="30" customFormat="false" ht="16.5" hidden="false" customHeight="true" outlineLevel="0" collapsed="false">
      <c r="B30" s="21" t="s">
        <v>17</v>
      </c>
      <c r="C30" s="59" t="s">
        <v>196</v>
      </c>
      <c r="D30" s="59"/>
      <c r="E30" s="117" t="n">
        <f aca="false">PERC_DEC_TERC</f>
        <v>8.33333333333333</v>
      </c>
      <c r="F30" s="113" t="n">
        <f aca="false">PERC_DEC_TERC%*MOD_1_REMUNERACAO_ENC</f>
        <v>115.605</v>
      </c>
    </row>
    <row r="31" s="118" customFormat="true" ht="16.5" hidden="false" customHeight="true" outlineLevel="0" collapsed="false">
      <c r="B31" s="49" t="s">
        <v>19</v>
      </c>
      <c r="C31" s="25" t="s">
        <v>198</v>
      </c>
      <c r="D31" s="25"/>
      <c r="E31" s="119" t="n">
        <f aca="false">PERC_ADIC_FERIAS</f>
        <v>2.77777777777778</v>
      </c>
      <c r="F31" s="115" t="n">
        <f aca="false">PERC_ADIC_FERIAS%*MOD_1_REMUNERACAO_ENC</f>
        <v>38.535</v>
      </c>
    </row>
    <row r="32" s="54" customFormat="true" ht="16.5" hidden="false" customHeight="false" outlineLevel="0" collapsed="false">
      <c r="B32" s="61" t="s">
        <v>63</v>
      </c>
      <c r="C32" s="61"/>
      <c r="D32" s="61"/>
      <c r="E32" s="61"/>
      <c r="F32" s="62" t="n">
        <f aca="false">IF(QTDE_DE_ENC=0,0,SUM(F30:F31))</f>
        <v>154.14</v>
      </c>
    </row>
    <row r="33" s="54" customFormat="true" ht="31.5" hidden="false" customHeight="true" outlineLevel="0" collapsed="false">
      <c r="B33" s="151" t="s">
        <v>58</v>
      </c>
      <c r="C33" s="151"/>
      <c r="D33" s="151"/>
      <c r="E33" s="151"/>
      <c r="F33" s="151"/>
    </row>
    <row r="34" s="54" customFormat="true" ht="34.5" hidden="false" customHeight="true" outlineLevel="0" collapsed="false">
      <c r="B34" s="21" t="s">
        <v>59</v>
      </c>
      <c r="C34" s="58" t="s">
        <v>60</v>
      </c>
      <c r="D34" s="58"/>
      <c r="E34" s="49" t="s">
        <v>92</v>
      </c>
      <c r="F34" s="49" t="s">
        <v>104</v>
      </c>
    </row>
    <row r="35" customFormat="false" ht="16.5" hidden="false" customHeight="true" outlineLevel="0" collapsed="false">
      <c r="B35" s="21" t="s">
        <v>17</v>
      </c>
      <c r="C35" s="59" t="s">
        <v>200</v>
      </c>
      <c r="D35" s="59"/>
      <c r="E35" s="117" t="n">
        <f aca="false">PERC_INSS</f>
        <v>20</v>
      </c>
      <c r="F35" s="113" t="n">
        <f aca="false">PERC_INSS%*(MOD_1_REMUNERACAO_ENC+SUBMOD_2_1_DEC_TERC_ADIC_FERIAS_ENC)</f>
        <v>308.28</v>
      </c>
    </row>
    <row r="36" s="3" customFormat="true" ht="16.5" hidden="false" customHeight="true" outlineLevel="0" collapsed="false">
      <c r="B36" s="49" t="s">
        <v>19</v>
      </c>
      <c r="C36" s="25" t="s">
        <v>201</v>
      </c>
      <c r="D36" s="25"/>
      <c r="E36" s="126" t="n">
        <f aca="false">PERC_SAL_EDUCACAO</f>
        <v>2.5</v>
      </c>
      <c r="F36" s="115" t="n">
        <f aca="false">PERC_SAL_EDUCACAO%*(MOD_1_REMUNERACAO_ENC+SUBMOD_2_1_DEC_TERC_ADIC_FERIAS_ENC)</f>
        <v>38.535</v>
      </c>
    </row>
    <row r="37" s="3" customFormat="true" ht="16.5" hidden="false" customHeight="true" outlineLevel="0" collapsed="false">
      <c r="B37" s="49" t="s">
        <v>21</v>
      </c>
      <c r="C37" s="59" t="s">
        <v>235</v>
      </c>
      <c r="D37" s="59"/>
      <c r="E37" s="117" t="n">
        <f aca="false">PERC_RAT</f>
        <v>3</v>
      </c>
      <c r="F37" s="113" t="n">
        <f aca="false">PERC_RAT%*(MOD_1_REMUNERACAO_ENC+SUBMOD_2_1_DEC_TERC_ADIC_FERIAS_ENC)</f>
        <v>46.242</v>
      </c>
    </row>
    <row r="38" s="3" customFormat="true" ht="16.5" hidden="false" customHeight="true" outlineLevel="0" collapsed="false">
      <c r="B38" s="49" t="s">
        <v>24</v>
      </c>
      <c r="C38" s="25" t="s">
        <v>203</v>
      </c>
      <c r="D38" s="25"/>
      <c r="E38" s="119" t="n">
        <f aca="false">PERC_SESC</f>
        <v>1.5</v>
      </c>
      <c r="F38" s="115" t="n">
        <f aca="false">PERC_SESC%*(MOD_1_REMUNERACAO_ENC+SUBMOD_2_1_DEC_TERC_ADIC_FERIAS_ENC)</f>
        <v>23.121</v>
      </c>
    </row>
    <row r="39" s="3" customFormat="true" ht="16.5" hidden="false" customHeight="true" outlineLevel="0" collapsed="false">
      <c r="B39" s="49" t="s">
        <v>27</v>
      </c>
      <c r="C39" s="59" t="s">
        <v>204</v>
      </c>
      <c r="D39" s="59"/>
      <c r="E39" s="117" t="n">
        <f aca="false">PERC_SENAC</f>
        <v>1</v>
      </c>
      <c r="F39" s="113" t="n">
        <f aca="false">PERC_SENAC%*(MOD_1_REMUNERACAO_ENC+SUBMOD_2_1_DEC_TERC_ADIC_FERIAS_ENC)</f>
        <v>15.414</v>
      </c>
    </row>
    <row r="40" s="13" customFormat="true" ht="16.5" hidden="false" customHeight="true" outlineLevel="0" collapsed="false">
      <c r="B40" s="49" t="s">
        <v>86</v>
      </c>
      <c r="C40" s="25" t="s">
        <v>205</v>
      </c>
      <c r="D40" s="25"/>
      <c r="E40" s="126" t="n">
        <f aca="false">PERC_SEBRAE</f>
        <v>0.6</v>
      </c>
      <c r="F40" s="115" t="n">
        <f aca="false">PERC_SEBRAE%*(MOD_1_REMUNERACAO_ENC+SUBMOD_2_1_DEC_TERC_ADIC_FERIAS_ENC)</f>
        <v>9.2484</v>
      </c>
    </row>
    <row r="41" s="13" customFormat="true" ht="16.5" hidden="false" customHeight="true" outlineLevel="0" collapsed="false">
      <c r="B41" s="49" t="s">
        <v>167</v>
      </c>
      <c r="C41" s="59" t="s">
        <v>206</v>
      </c>
      <c r="D41" s="59"/>
      <c r="E41" s="117" t="n">
        <f aca="false">PERC_INCRA</f>
        <v>0.2</v>
      </c>
      <c r="F41" s="113" t="n">
        <f aca="false">PERC_INCRA%*(MOD_1_REMUNERACAO_ENC+SUBMOD_2_1_DEC_TERC_ADIC_FERIAS_ENC)</f>
        <v>3.0828</v>
      </c>
    </row>
    <row r="42" customFormat="false" ht="16.5" hidden="false" customHeight="true" outlineLevel="0" collapsed="false">
      <c r="B42" s="49" t="s">
        <v>169</v>
      </c>
      <c r="C42" s="25" t="s">
        <v>207</v>
      </c>
      <c r="D42" s="25"/>
      <c r="E42" s="126" t="n">
        <f aca="false">PERC_FGTS</f>
        <v>8</v>
      </c>
      <c r="F42" s="115" t="n">
        <f aca="false">PERC_FGTS%*(MOD_1_REMUNERACAO_ENC+SUBMOD_2_1_DEC_TERC_ADIC_FERIAS_ENC)</f>
        <v>123.312</v>
      </c>
    </row>
    <row r="43" customFormat="false" ht="16.5" hidden="false" customHeight="false" outlineLevel="0" collapsed="false">
      <c r="B43" s="61" t="s">
        <v>63</v>
      </c>
      <c r="C43" s="61"/>
      <c r="D43" s="61"/>
      <c r="E43" s="61"/>
      <c r="F43" s="152" t="n">
        <f aca="false">IF(QTDE_DE_ENC=0,0,SUM(F35:F42))</f>
        <v>567.2352</v>
      </c>
    </row>
    <row r="44" customFormat="false" ht="15.75" hidden="false" customHeight="true" outlineLevel="0" collapsed="false">
      <c r="B44" s="46" t="s">
        <v>65</v>
      </c>
      <c r="C44" s="13"/>
      <c r="D44" s="13"/>
      <c r="E44" s="13"/>
      <c r="F44" s="13"/>
    </row>
    <row r="45" customFormat="false" ht="15.75" hidden="false" customHeight="true" outlineLevel="0" collapsed="false">
      <c r="B45" s="21" t="s">
        <v>66</v>
      </c>
      <c r="C45" s="48" t="s">
        <v>67</v>
      </c>
      <c r="D45" s="48"/>
      <c r="E45" s="48"/>
      <c r="F45" s="49" t="s">
        <v>104</v>
      </c>
    </row>
    <row r="46" customFormat="false" ht="16.5" hidden="false" customHeight="true" outlineLevel="0" collapsed="false">
      <c r="B46" s="19" t="s">
        <v>17</v>
      </c>
      <c r="C46" s="59" t="s">
        <v>70</v>
      </c>
      <c r="D46" s="59"/>
      <c r="E46" s="59"/>
      <c r="F46" s="113" t="n">
        <f aca="false">IF(DIAS_TRABALHADOS_NO_MES=15,(TRANSPORTE_POR_DIA*DIAS_TRABALHADOS_NO_MES)-(PERC_DESC_TRANSP_REMUNERACAO%*(AL_1_A_SAL_BASE_ENC/2)),IF(DIAS_TRABALHADOS_NO_MES=22,('INSERÇÃO-DE-DADOS_MÃO DE OBRA'!F46*DIAS_TRABALHADOS_NO_MES)-(PERC_DESC_TRANSP_REMUNERACAO%*(AL_1_A_SAL_BASE_ENC))))</f>
        <v>120.58</v>
      </c>
    </row>
    <row r="47" s="54" customFormat="true" ht="16.5" hidden="false" customHeight="true" outlineLevel="0" collapsed="false">
      <c r="B47" s="19" t="s">
        <v>19</v>
      </c>
      <c r="C47" s="25" t="s">
        <v>80</v>
      </c>
      <c r="D47" s="25"/>
      <c r="E47" s="25"/>
      <c r="F47" s="115" t="n">
        <f aca="false">ALIMENTACAO_POR_DIA*DIAS_TRABALHADOS_NO_MES</f>
        <v>272.25</v>
      </c>
    </row>
    <row r="48" s="54" customFormat="true" ht="16.5" hidden="false" customHeight="false" outlineLevel="0" collapsed="false">
      <c r="B48" s="19" t="s">
        <v>21</v>
      </c>
      <c r="C48" s="79" t="str">
        <f aca="false">OUTROS_BENEFICIOS_1_DESCRICAO</f>
        <v>Outros benefícios (Especificar)</v>
      </c>
      <c r="D48" s="79"/>
      <c r="E48" s="79"/>
      <c r="F48" s="113" t="n">
        <f aca="false">OUTROS_BENEFICIOS_1</f>
        <v>0</v>
      </c>
    </row>
    <row r="49" s="54" customFormat="true" ht="16.5" hidden="false" customHeight="false" outlineLevel="0" collapsed="false">
      <c r="B49" s="19" t="s">
        <v>24</v>
      </c>
      <c r="C49" s="50" t="str">
        <f aca="false">OUTROS_BENEFICIOS_2_DESCRICAO</f>
        <v>Outros benefícios (Especificar)</v>
      </c>
      <c r="D49" s="50"/>
      <c r="E49" s="50"/>
      <c r="F49" s="115" t="n">
        <f aca="false">OUTROS_BENEFICIOS_2</f>
        <v>0</v>
      </c>
    </row>
    <row r="50" s="54" customFormat="true" ht="16.5" hidden="false" customHeight="false" outlineLevel="0" collapsed="false">
      <c r="B50" s="19" t="s">
        <v>27</v>
      </c>
      <c r="C50" s="79" t="str">
        <f aca="false">OUTROS_BENEFICIOS_3_DESCRICAO</f>
        <v>Outros benefícios (Especificar)</v>
      </c>
      <c r="D50" s="79"/>
      <c r="E50" s="79"/>
      <c r="F50" s="113" t="n">
        <f aca="false">OUTROS_BENEFICIOS_3</f>
        <v>0</v>
      </c>
    </row>
    <row r="51" s="54" customFormat="true" ht="15" hidden="false" customHeight="true" outlineLevel="0" collapsed="false">
      <c r="B51" s="48" t="s">
        <v>63</v>
      </c>
      <c r="C51" s="48"/>
      <c r="D51" s="48"/>
      <c r="E51" s="48"/>
      <c r="F51" s="150" t="n">
        <f aca="false">IF(QTDE_DE_ENC=0,0,SUM(F46:F50))</f>
        <v>392.83</v>
      </c>
    </row>
    <row r="52" s="54" customFormat="true" ht="16.5" hidden="false" customHeight="false" outlineLevel="0" collapsed="false">
      <c r="B52" s="46" t="s">
        <v>173</v>
      </c>
      <c r="C52" s="74"/>
      <c r="D52" s="75"/>
      <c r="E52" s="76"/>
      <c r="F52" s="76"/>
    </row>
    <row r="53" s="54" customFormat="true" ht="15" hidden="false" customHeight="true" outlineLevel="0" collapsed="false">
      <c r="B53" s="21" t="n">
        <v>3</v>
      </c>
      <c r="C53" s="61" t="s">
        <v>174</v>
      </c>
      <c r="D53" s="61"/>
      <c r="E53" s="49" t="s">
        <v>92</v>
      </c>
      <c r="F53" s="49" t="s">
        <v>104</v>
      </c>
    </row>
    <row r="54" s="54" customFormat="true" ht="16.5" hidden="false" customHeight="false" outlineLevel="0" collapsed="false">
      <c r="B54" s="21" t="s">
        <v>17</v>
      </c>
      <c r="C54" s="124" t="s">
        <v>208</v>
      </c>
      <c r="D54" s="124"/>
      <c r="E54" s="117" t="n">
        <f aca="false">PERC_AVISO_PREVIO_IND</f>
        <v>0.26011</v>
      </c>
      <c r="F54" s="113" t="n">
        <f aca="false">PERC_AVISO_PREVIO_IND%*(MOD_1_REMUNERACAO_ENC+SUBMOD_2_1_DEC_TERC_ADIC_FERIAS_ENC+AL_2_2_FGTS_ENC+SUBMOD_2_3_BENEFICIOS_ENC)</f>
        <v>5.3518724962</v>
      </c>
    </row>
    <row r="55" s="54" customFormat="true" ht="16.4" hidden="false" customHeight="false" outlineLevel="0" collapsed="false">
      <c r="B55" s="49" t="s">
        <v>19</v>
      </c>
      <c r="C55" s="125" t="s">
        <v>210</v>
      </c>
      <c r="D55" s="125"/>
      <c r="E55" s="126" t="n">
        <f aca="false">PERC_AVISO_PREVIO_TRAB</f>
        <v>1.03286322222222</v>
      </c>
      <c r="F55" s="115" t="n">
        <f aca="false">PERC_AVISO_PREVIO_TRAB%*(MOD_1_REMUNERACAO_ENC+SUBMOD_2_1_DEC_TERC_ADIC_FERIAS_ENC+SUBMOD_2_2_GPS_FGTS_ENC+SUBMOD_2_3_BENEFICIOS_ENC)</f>
        <v>25.8367140674875</v>
      </c>
    </row>
    <row r="56" s="3" customFormat="true" ht="20.7" hidden="false" customHeight="true" outlineLevel="0" collapsed="false">
      <c r="B56" s="49" t="s">
        <v>21</v>
      </c>
      <c r="C56" s="124" t="s">
        <v>212</v>
      </c>
      <c r="D56" s="124"/>
      <c r="E56" s="117" t="n">
        <f aca="false">PERC_MULTA_FGTS_AV_PREV_TRAB</f>
        <v>0.04</v>
      </c>
      <c r="F56" s="113" t="n">
        <f aca="false">PERC_MULTA_FGTS_AV_PREV_TRAB%*(MOD_1_REMUNERACAO_ENC+SUBMOD_2_1_DEC_TERC_ADIC_FERIAS_ENC)</f>
        <v>0.61656</v>
      </c>
    </row>
    <row r="57" s="3" customFormat="true" ht="16.5" hidden="false" customHeight="false" outlineLevel="0" collapsed="false">
      <c r="B57" s="61" t="s">
        <v>63</v>
      </c>
      <c r="C57" s="61"/>
      <c r="D57" s="61"/>
      <c r="E57" s="61"/>
      <c r="F57" s="62" t="n">
        <f aca="false">IF(QTDE_DE_ENC=0,0,SUM(F54:F56))</f>
        <v>31.8051465636875</v>
      </c>
    </row>
    <row r="58" s="3" customFormat="true" ht="15.95" hidden="false" customHeight="true" outlineLevel="0" collapsed="false">
      <c r="B58" s="46" t="s">
        <v>88</v>
      </c>
      <c r="C58" s="74"/>
      <c r="D58" s="75"/>
      <c r="E58" s="1"/>
      <c r="F58" s="1"/>
    </row>
    <row r="59" s="3" customFormat="true" ht="15.95" hidden="false" customHeight="true" outlineLevel="0" collapsed="false">
      <c r="B59" s="46" t="s">
        <v>89</v>
      </c>
      <c r="C59" s="74"/>
      <c r="D59" s="75"/>
      <c r="E59" s="76"/>
      <c r="F59" s="76"/>
    </row>
    <row r="60" s="3" customFormat="true" ht="16.5" hidden="false" customHeight="true" outlineLevel="0" collapsed="false">
      <c r="B60" s="21" t="s">
        <v>90</v>
      </c>
      <c r="C60" s="48" t="s">
        <v>91</v>
      </c>
      <c r="D60" s="48"/>
      <c r="E60" s="49" t="s">
        <v>92</v>
      </c>
      <c r="F60" s="49" t="s">
        <v>104</v>
      </c>
    </row>
    <row r="61" s="3" customFormat="true" ht="15.95" hidden="false" customHeight="true" outlineLevel="0" collapsed="false">
      <c r="B61" s="49" t="s">
        <v>17</v>
      </c>
      <c r="C61" s="59" t="s">
        <v>214</v>
      </c>
      <c r="D61" s="59"/>
      <c r="E61" s="117" t="n">
        <f aca="false">PERC_SUBSTITUTO_FERIAS</f>
        <v>8.33333333333333</v>
      </c>
      <c r="F61" s="113" t="n">
        <f aca="false">PERC_SUBSTITUTO_FERIAS%*(MOD_1_REMUNERACAO_ENC+MOD_2_ENCARGOS_BENEFICIOS_ENC+MOD_3_PROVISAO_RESCISAO_ENC)</f>
        <v>211.105862213641</v>
      </c>
    </row>
    <row r="62" s="3" customFormat="true" ht="15.95" hidden="false" customHeight="true" outlineLevel="0" collapsed="false">
      <c r="B62" s="49" t="s">
        <v>19</v>
      </c>
      <c r="C62" s="25" t="s">
        <v>216</v>
      </c>
      <c r="D62" s="25"/>
      <c r="E62" s="126" t="n">
        <f aca="false">PERC_SUBSTITUTO_AUSENCIAS_LEGAIS</f>
        <v>2.22222222222222</v>
      </c>
      <c r="F62" s="115" t="n">
        <f aca="false">PERC_SUBSTITUTO_AUSENCIAS_LEGAIS%*(MOD_1_REMUNERACAO_ENC+MOD_2_ENCARGOS_BENEFICIOS_ENC+MOD_3_PROVISAO_RESCISAO_ENC)</f>
        <v>56.2948965903041</v>
      </c>
    </row>
    <row r="63" s="3" customFormat="true" ht="15.95" hidden="false" customHeight="true" outlineLevel="0" collapsed="false">
      <c r="B63" s="49" t="s">
        <v>21</v>
      </c>
      <c r="C63" s="59" t="s">
        <v>218</v>
      </c>
      <c r="D63" s="59"/>
      <c r="E63" s="117" t="n">
        <f aca="false">PERC_SUBSTITUTO_LICENCA_PATERNIDADE</f>
        <v>0.0356735555555555</v>
      </c>
      <c r="F63" s="113" t="n">
        <f aca="false">PERC_SUBSTITUTO_LICENCA_PATERNIDADE%*(MOD_1_REMUNERACAO_ENC+MOD_2_ENCARGOS_BENEFICIOS_ENC+MOD_3_PROVISAO_RESCISAO_ENC)</f>
        <v>0.90370760445381</v>
      </c>
    </row>
    <row r="64" s="3" customFormat="true" ht="16.5" hidden="false" customHeight="true" outlineLevel="0" collapsed="false">
      <c r="B64" s="49" t="s">
        <v>24</v>
      </c>
      <c r="C64" s="25" t="s">
        <v>220</v>
      </c>
      <c r="D64" s="25"/>
      <c r="E64" s="126" t="n">
        <f aca="false">PERC_SUBSTITUTO_ACID_TRAB</f>
        <v>0.0185302229372558</v>
      </c>
      <c r="F64" s="115" t="n">
        <f aca="false">PERC_SUBSTITUTO_ACID_TRAB%*(MOD_1_REMUNERACAO_ENC+MOD_2_ENCARGOS_BENEFICIOS_ENC+MOD_3_PROVISAO_RESCISAO_ENC)</f>
        <v>0.469420642821644</v>
      </c>
    </row>
    <row r="65" s="3" customFormat="true" ht="16.5" hidden="false" customHeight="true" outlineLevel="0" collapsed="false">
      <c r="B65" s="49" t="s">
        <v>27</v>
      </c>
      <c r="C65" s="59" t="s">
        <v>222</v>
      </c>
      <c r="D65" s="59"/>
      <c r="E65" s="117" t="n">
        <f aca="false">PERC_SUBSTITUTO_AFAST_MATERN</f>
        <v>0.1427260032</v>
      </c>
      <c r="F65" s="113" t="n">
        <f aca="false">PERC_SUBSTITUTO_AFAST_MATERN%*(MOD_1_REMUNERACAO_ENC+MOD_2_ENCARGOS_BENEFICIOS_ENC+MOD_3_PROVISAO_RESCISAO_ENC)</f>
        <v>3.61563551590114</v>
      </c>
    </row>
    <row r="66" s="3" customFormat="true" ht="16.5" hidden="false" customHeight="false" outlineLevel="0" collapsed="false">
      <c r="B66" s="49" t="s">
        <v>86</v>
      </c>
      <c r="C66" s="153" t="str">
        <f aca="false">OUTRAS_AUSENCIAS_DESCRICAO</f>
        <v>Outras Ausências (Especificar em %)</v>
      </c>
      <c r="D66" s="153"/>
      <c r="E66" s="154" t="n">
        <f aca="false">PERC_SUBSTITUTO_OUTRAS_AUSENCIAS</f>
        <v>0</v>
      </c>
      <c r="F66" s="115" t="n">
        <f aca="false">PERC_SUBSTITUTO_OUTRAS_AUSENCIAS%*(MOD_1_REMUNERACAO_ENC+MOD_2_ENCARGOS_BENEFICIOS_ENC+MOD_3_PROVISAO_RESCISAO_ENC)</f>
        <v>0</v>
      </c>
    </row>
    <row r="67" s="3" customFormat="true" ht="16.5" hidden="false" customHeight="false" outlineLevel="0" collapsed="false">
      <c r="B67" s="61" t="s">
        <v>63</v>
      </c>
      <c r="C67" s="61"/>
      <c r="D67" s="61"/>
      <c r="E67" s="61"/>
      <c r="F67" s="62" t="n">
        <f aca="false">IF(QTDE_DE_ENC=0,0,SUM(F61:F66))</f>
        <v>272.389522567121</v>
      </c>
    </row>
    <row r="68" s="3" customFormat="true" ht="15" hidden="false" customHeight="true" outlineLevel="0" collapsed="false">
      <c r="B68" s="46" t="s">
        <v>94</v>
      </c>
      <c r="C68" s="74"/>
      <c r="D68" s="75"/>
      <c r="E68" s="76"/>
      <c r="F68" s="76"/>
    </row>
    <row r="69" s="3" customFormat="true" ht="16.5" hidden="false" customHeight="false" outlineLevel="0" collapsed="false">
      <c r="B69" s="21" t="s">
        <v>95</v>
      </c>
      <c r="C69" s="61" t="s">
        <v>96</v>
      </c>
      <c r="D69" s="61"/>
      <c r="E69" s="61"/>
      <c r="F69" s="49" t="s">
        <v>104</v>
      </c>
    </row>
    <row r="70" s="3" customFormat="true" ht="16.5" hidden="false" customHeight="true" outlineLevel="0" collapsed="false">
      <c r="B70" s="21" t="s">
        <v>17</v>
      </c>
      <c r="C70" s="59" t="s">
        <v>236</v>
      </c>
      <c r="D70" s="59"/>
      <c r="E70" s="59"/>
      <c r="F70" s="148" t="n">
        <f aca="false">IF(DIAS_TRABALHADOS_NO_MES=15,((MOD_1_REMUNERACAO_ENC+MOD_2_ENCARGOS_BENEFICIOS_ENC+MOD_3_PROVISAO_RESCISAO_ENC)/DIVISOR_DE_HORAS)*((TEMPO_INTERVALO_REFEICAO/HORA_NORMAL)+PERC_HORA_EXTRA%)*DIAS_TRABALHADOS_NO_MES,0)</f>
        <v>0</v>
      </c>
    </row>
    <row r="71" s="3" customFormat="true" ht="16.5" hidden="false" customHeight="false" outlineLevel="0" collapsed="false">
      <c r="B71" s="61" t="s">
        <v>63</v>
      </c>
      <c r="C71" s="61"/>
      <c r="D71" s="61"/>
      <c r="E71" s="61"/>
      <c r="F71" s="62" t="n">
        <f aca="false">IF(QTDE_DE_ENC=0,0,SUM(F70))</f>
        <v>0</v>
      </c>
    </row>
    <row r="72" customFormat="false" ht="16.5" hidden="false" customHeight="false" outlineLevel="0" collapsed="false">
      <c r="B72" s="46" t="s">
        <v>101</v>
      </c>
      <c r="C72" s="74"/>
      <c r="D72" s="74"/>
      <c r="E72" s="76"/>
      <c r="F72" s="76"/>
    </row>
    <row r="73" customFormat="false" ht="15.75" hidden="false" customHeight="true" outlineLevel="0" collapsed="false">
      <c r="B73" s="80" t="n">
        <v>5</v>
      </c>
      <c r="C73" s="155" t="s">
        <v>103</v>
      </c>
      <c r="D73" s="155"/>
      <c r="E73" s="155"/>
      <c r="F73" s="156" t="s">
        <v>104</v>
      </c>
    </row>
    <row r="74" customFormat="false" ht="16.5" hidden="false" customHeight="true" outlineLevel="0" collapsed="false">
      <c r="B74" s="157" t="s">
        <v>17</v>
      </c>
      <c r="C74" s="158" t="s">
        <v>237</v>
      </c>
      <c r="D74" s="158"/>
      <c r="E74" s="158"/>
      <c r="F74" s="159" t="n">
        <f aca="false">UNIFORMES!I14</f>
        <v>64.2841666666667</v>
      </c>
    </row>
    <row r="75" customFormat="false" ht="16.5" hidden="false" customHeight="true" outlineLevel="0" collapsed="false">
      <c r="B75" s="157" t="s">
        <v>19</v>
      </c>
      <c r="C75" s="160" t="s">
        <v>238</v>
      </c>
      <c r="D75" s="160"/>
      <c r="E75" s="160"/>
      <c r="F75" s="161"/>
    </row>
    <row r="76" customFormat="false" ht="16.5" hidden="false" customHeight="true" outlineLevel="0" collapsed="false">
      <c r="B76" s="157" t="s">
        <v>21</v>
      </c>
      <c r="C76" s="158" t="s">
        <v>239</v>
      </c>
      <c r="D76" s="158"/>
      <c r="E76" s="158"/>
      <c r="F76" s="159"/>
    </row>
    <row r="77" customFormat="false" ht="16.35" hidden="false" customHeight="true" outlineLevel="0" collapsed="false">
      <c r="B77" s="157" t="s">
        <v>24</v>
      </c>
      <c r="C77" s="162" t="s">
        <v>240</v>
      </c>
      <c r="D77" s="162"/>
      <c r="E77" s="162"/>
      <c r="F77" s="161"/>
    </row>
    <row r="78" customFormat="false" ht="16.5" hidden="false" customHeight="true" outlineLevel="0" collapsed="false">
      <c r="B78" s="155" t="s">
        <v>63</v>
      </c>
      <c r="C78" s="155"/>
      <c r="D78" s="155"/>
      <c r="E78" s="155"/>
      <c r="F78" s="163" t="n">
        <f aca="false">IF(QTDE_DE_ENC=0,0,SUM(F74:F77))</f>
        <v>64.2841666666667</v>
      </c>
    </row>
    <row r="79" customFormat="false" ht="15" hidden="false" customHeight="true" outlineLevel="0" collapsed="false">
      <c r="B79" s="57" t="s">
        <v>105</v>
      </c>
      <c r="C79" s="57"/>
      <c r="D79" s="57"/>
      <c r="E79" s="57"/>
      <c r="F79" s="57"/>
    </row>
    <row r="80" customFormat="false" ht="16.5" hidden="false" customHeight="false" outlineLevel="0" collapsed="false">
      <c r="B80" s="21" t="n">
        <v>6</v>
      </c>
      <c r="C80" s="61" t="s">
        <v>241</v>
      </c>
      <c r="D80" s="61"/>
      <c r="E80" s="49" t="s">
        <v>92</v>
      </c>
      <c r="F80" s="49" t="s">
        <v>104</v>
      </c>
    </row>
    <row r="81" customFormat="false" ht="16.5" hidden="false" customHeight="true" outlineLevel="0" collapsed="false">
      <c r="B81" s="21" t="s">
        <v>17</v>
      </c>
      <c r="C81" s="59" t="s">
        <v>111</v>
      </c>
      <c r="D81" s="59"/>
      <c r="E81" s="164" t="n">
        <f aca="false">'INSERÇÃO-DE-DADOS_MÃO DE OBRA'!D71</f>
        <v>4.73</v>
      </c>
      <c r="F81" s="113" t="n">
        <f aca="false">E81%*(MOD_1_REMUNERACAO_ENC+MOD_2_ENCARGOS_BENEFICIOS_ENC+MOD_3_PROVISAO_RESCISAO_ENC+MOD_4_CUSTO_REPOSICAO_ENC+MOD_5_INSUMOS_ENC)</f>
        <v>135.748352893221</v>
      </c>
    </row>
    <row r="82" customFormat="false" ht="15.75" hidden="false" customHeight="true" outlineLevel="0" collapsed="false">
      <c r="B82" s="49" t="s">
        <v>19</v>
      </c>
      <c r="C82" s="25" t="s">
        <v>112</v>
      </c>
      <c r="D82" s="25"/>
      <c r="E82" s="165" t="n">
        <f aca="false">'INSERÇÃO-DE-DADOS_MÃO DE OBRA'!D72</f>
        <v>5.57</v>
      </c>
      <c r="F82" s="115" t="n">
        <f aca="false">E82%*(MOD_1_REMUNERACAO_ENC+MOD_2_ENCARGOS_BENEFICIOS_ENC+MOD_3_PROVISAO_RESCISAO_ENC+MOD_4_CUSTO_REPOSICAO_ENC+MOD_5_INSUMOS_ENC+AL_6_A_CUSTOS_INDIRETOS_ENC)</f>
        <v>167.417066050072</v>
      </c>
    </row>
    <row r="83" customFormat="false" ht="16.5" hidden="false" customHeight="true" outlineLevel="0" collapsed="false">
      <c r="B83" s="49" t="s">
        <v>21</v>
      </c>
      <c r="C83" s="59" t="s">
        <v>242</v>
      </c>
      <c r="D83" s="59"/>
      <c r="E83" s="164" t="n">
        <f aca="false">SUM(E84:E86)</f>
        <v>8.65</v>
      </c>
      <c r="F83" s="113" t="n">
        <f aca="false">SUM(F84:F86)</f>
        <v>300.464113667298</v>
      </c>
    </row>
    <row r="84" customFormat="false" ht="15.75" hidden="false" customHeight="true" outlineLevel="0" collapsed="false">
      <c r="B84" s="87" t="s">
        <v>113</v>
      </c>
      <c r="C84" s="166" t="s">
        <v>114</v>
      </c>
      <c r="D84" s="166"/>
      <c r="E84" s="167" t="n">
        <f aca="false">'INSERÇÃO-DE-DADOS_MÃO DE OBRA'!D73</f>
        <v>0.65</v>
      </c>
      <c r="F84" s="168" t="n">
        <f aca="false">((MOD_1_REMUNERACAO_ENC+MOD_2_ENCARGOS_BENEFICIOS_ENC+MOD_3_PROVISAO_RESCISAO_ENC+MOD_4_CUSTO_REPOSICAO_ENC+MOD_5_INSUMOS_ENC+AL_6_A_CUSTOS_INDIRETOS_ENC+AL_6_B_LUCRO_ENC)*E84%)/(1-PERC_TRIBUTOS%)</f>
        <v>22.5782281946524</v>
      </c>
    </row>
    <row r="85" customFormat="false" ht="16.5" hidden="false" customHeight="true" outlineLevel="0" collapsed="false">
      <c r="B85" s="87" t="s">
        <v>115</v>
      </c>
      <c r="C85" s="169" t="s">
        <v>116</v>
      </c>
      <c r="D85" s="169"/>
      <c r="E85" s="170" t="n">
        <f aca="false">'INSERÇÃO-DE-DADOS_MÃO DE OBRA'!D74</f>
        <v>3</v>
      </c>
      <c r="F85" s="171" t="n">
        <f aca="false">((MOD_1_REMUNERACAO_ENC+MOD_2_ENCARGOS_BENEFICIOS_ENC+MOD_3_PROVISAO_RESCISAO_ENC+MOD_4_CUSTO_REPOSICAO_ENC+MOD_5_INSUMOS_ENC+AL_6_A_CUSTOS_INDIRETOS_ENC+AL_6_B_LUCRO_ENC)*E85%)/(1-PERC_TRIBUTOS%)</f>
        <v>104.207207052242</v>
      </c>
    </row>
    <row r="86" s="81" customFormat="true" ht="16.5" hidden="false" customHeight="true" outlineLevel="0" collapsed="false">
      <c r="B86" s="87" t="s">
        <v>117</v>
      </c>
      <c r="C86" s="166" t="s">
        <v>118</v>
      </c>
      <c r="D86" s="166"/>
      <c r="E86" s="167" t="n">
        <f aca="false">'INSERÇÃO-DE-DADOS_MÃO DE OBRA'!D75</f>
        <v>5</v>
      </c>
      <c r="F86" s="168" t="n">
        <f aca="false">((MOD_1_REMUNERACAO_ENC+MOD_2_ENCARGOS_BENEFICIOS_ENC+MOD_3_PROVISAO_RESCISAO_ENC+MOD_4_CUSTO_REPOSICAO_ENC+MOD_5_INSUMOS_ENC+AL_6_A_CUSTOS_INDIRETOS_ENC+AL_6_B_LUCRO_ENC)*E86%)/(1-PERC_TRIBUTOS%)</f>
        <v>173.678678420403</v>
      </c>
    </row>
    <row r="87" s="81" customFormat="true" ht="16.5" hidden="false" customHeight="false" outlineLevel="0" collapsed="false">
      <c r="B87" s="61" t="s">
        <v>63</v>
      </c>
      <c r="C87" s="61"/>
      <c r="D87" s="61"/>
      <c r="E87" s="61"/>
      <c r="F87" s="172" t="n">
        <f aca="false">IF(QTDE_DE_ENC=0,0,AL_6_A_CUSTOS_INDIRETOS_ENC+AL_6_B_LUCRO_ENC+AL_6_C_TRIBUTOS_ENC)</f>
        <v>603.62953261059</v>
      </c>
    </row>
    <row r="88" s="81" customFormat="true" ht="20.25" hidden="false" customHeight="false" outlineLevel="0" collapsed="false">
      <c r="B88" s="173" t="s">
        <v>243</v>
      </c>
      <c r="C88" s="174"/>
      <c r="D88" s="174"/>
      <c r="E88" s="174"/>
      <c r="F88" s="175"/>
    </row>
    <row r="89" s="83" customFormat="true" ht="16.5" hidden="false" customHeight="true" outlineLevel="0" collapsed="false">
      <c r="B89" s="49" t="s">
        <v>244</v>
      </c>
      <c r="C89" s="48" t="s">
        <v>245</v>
      </c>
      <c r="D89" s="48"/>
      <c r="E89" s="48"/>
      <c r="F89" s="49" t="s">
        <v>246</v>
      </c>
    </row>
    <row r="90" s="81" customFormat="true" ht="16.5" hidden="false" customHeight="true" outlineLevel="0" collapsed="false">
      <c r="B90" s="21" t="n">
        <v>1</v>
      </c>
      <c r="C90" s="59" t="s">
        <v>51</v>
      </c>
      <c r="D90" s="59"/>
      <c r="E90" s="59"/>
      <c r="F90" s="113" t="n">
        <f aca="false">MOD_1_REMUNERACAO_ENC</f>
        <v>1387.26</v>
      </c>
      <c r="G90" s="176"/>
    </row>
    <row r="91" s="82" customFormat="true" ht="16.5" hidden="false" customHeight="true" outlineLevel="0" collapsed="false">
      <c r="B91" s="49" t="n">
        <v>2</v>
      </c>
      <c r="C91" s="25" t="s">
        <v>247</v>
      </c>
      <c r="D91" s="25"/>
      <c r="E91" s="25"/>
      <c r="F91" s="115" t="n">
        <f aca="false">MOD_2_ENCARGOS_BENEFICIOS_ENC</f>
        <v>1114.2052</v>
      </c>
    </row>
    <row r="92" s="82" customFormat="true" ht="16.5" hidden="false" customHeight="true" outlineLevel="0" collapsed="false">
      <c r="B92" s="49" t="n">
        <v>3</v>
      </c>
      <c r="C92" s="59" t="s">
        <v>174</v>
      </c>
      <c r="D92" s="59"/>
      <c r="E92" s="59"/>
      <c r="F92" s="113" t="n">
        <f aca="false">MOD_3_PROVISAO_RESCISAO_ENC</f>
        <v>31.8051465636875</v>
      </c>
    </row>
    <row r="93" s="82" customFormat="true" ht="16.5" hidden="false" customHeight="true" outlineLevel="0" collapsed="false">
      <c r="B93" s="49" t="n">
        <v>4</v>
      </c>
      <c r="C93" s="25" t="s">
        <v>248</v>
      </c>
      <c r="D93" s="25"/>
      <c r="E93" s="25"/>
      <c r="F93" s="115" t="n">
        <f aca="false">MOD_4_CUSTO_REPOSICAO_ENC</f>
        <v>272.389522567121</v>
      </c>
    </row>
    <row r="94" s="82" customFormat="true" ht="16.5" hidden="false" customHeight="true" outlineLevel="0" collapsed="false">
      <c r="B94" s="49" t="n">
        <v>5</v>
      </c>
      <c r="C94" s="59" t="s">
        <v>103</v>
      </c>
      <c r="D94" s="59"/>
      <c r="E94" s="59"/>
      <c r="F94" s="113" t="n">
        <f aca="false">MOD_5_INSUMOS_ENC</f>
        <v>64.2841666666667</v>
      </c>
    </row>
    <row r="95" s="82" customFormat="true" ht="16.5" hidden="false" customHeight="true" outlineLevel="0" collapsed="false">
      <c r="B95" s="49" t="n">
        <v>6</v>
      </c>
      <c r="C95" s="25" t="s">
        <v>241</v>
      </c>
      <c r="D95" s="25"/>
      <c r="E95" s="25"/>
      <c r="F95" s="115" t="n">
        <f aca="false">MOD_6_CUSTOS_IND_LUCRO_TRIB_ENC</f>
        <v>603.62953261059</v>
      </c>
    </row>
    <row r="96" customFormat="false" ht="16.5" hidden="false" customHeight="true" outlineLevel="0" collapsed="false">
      <c r="B96" s="48" t="s">
        <v>249</v>
      </c>
      <c r="C96" s="48"/>
      <c r="D96" s="48"/>
      <c r="E96" s="48"/>
      <c r="F96" s="172" t="n">
        <f aca="false">IF(QTDE_DE_ENC=0,0,SUM(F90:F95))</f>
        <v>3473.57356840807</v>
      </c>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8">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B57:E57"/>
    <mergeCell ref="C60:D60"/>
    <mergeCell ref="C61:D61"/>
    <mergeCell ref="C62:D62"/>
    <mergeCell ref="C63:D63"/>
    <mergeCell ref="C64:D64"/>
    <mergeCell ref="C65:D65"/>
    <mergeCell ref="C66:D66"/>
    <mergeCell ref="B67:E67"/>
    <mergeCell ref="C69:E69"/>
    <mergeCell ref="C70:E70"/>
    <mergeCell ref="B71:E71"/>
    <mergeCell ref="C73:E73"/>
    <mergeCell ref="C74:E74"/>
    <mergeCell ref="C75:E75"/>
    <mergeCell ref="C76:E76"/>
    <mergeCell ref="C77:E77"/>
    <mergeCell ref="B78:E78"/>
    <mergeCell ref="B79:F79"/>
    <mergeCell ref="C80:D80"/>
    <mergeCell ref="C81:D81"/>
    <mergeCell ref="C82:D82"/>
    <mergeCell ref="C83:D83"/>
    <mergeCell ref="C84:D84"/>
    <mergeCell ref="C85:D85"/>
    <mergeCell ref="C86:D86"/>
    <mergeCell ref="B87:E87"/>
    <mergeCell ref="C89:E89"/>
    <mergeCell ref="C90:E90"/>
    <mergeCell ref="C91:E91"/>
    <mergeCell ref="C92:E92"/>
    <mergeCell ref="C93:E93"/>
    <mergeCell ref="C94:E94"/>
    <mergeCell ref="C95:E95"/>
    <mergeCell ref="B96:E96"/>
  </mergeCells>
  <printOptions headings="false" gridLines="false" gridLinesSet="true" horizontalCentered="true" verticalCentered="false"/>
  <pageMargins left="0.0798611111111111" right="0.05" top="0.196527777777778" bottom="0.157638888888889"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B1:N1048576"/>
  <sheetViews>
    <sheetView showFormulas="false" showGridLines="true" showRowColHeaders="true" showZeros="true" rightToLeft="false" tabSelected="false" showOutlineSymbols="true" defaultGridColor="true" view="normal" topLeftCell="A37" colorId="64" zoomScale="80" zoomScaleNormal="80" zoomScalePageLayoutView="100" workbookViewId="0">
      <selection pane="topLeft" activeCell="I95" activeCellId="0" sqref="I95"/>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77" width="18.85"/>
    <col collapsed="false" customWidth="true" hidden="false" outlineLevel="0" max="9" min="9" style="177" width="14.86"/>
    <col collapsed="false" customWidth="true" hidden="false" outlineLevel="0" max="10" min="10" style="177" width="12.71"/>
    <col collapsed="false" customWidth="true" hidden="false" outlineLevel="0" max="11" min="11" style="177" width="14.01"/>
    <col collapsed="false" customWidth="true" hidden="false" outlineLevel="0" max="12" min="12" style="178" width="13.7"/>
    <col collapsed="false" customWidth="true" hidden="false" outlineLevel="0" max="13" min="13" style="178" width="9.42"/>
    <col collapsed="false" customWidth="true" hidden="false" outlineLevel="0" max="14" min="14" style="178" width="12.86"/>
    <col collapsed="false" customWidth="true" hidden="false" outlineLevel="0" max="1025" min="15" style="1" width="9.13"/>
  </cols>
  <sheetData>
    <row r="1" s="1" customFormat="true" ht="20.25" hidden="false" customHeight="false" outlineLevel="0" collapsed="false">
      <c r="B1" s="128" t="str">
        <f aca="false">RAMO</f>
        <v>RAMO: MINISTÉRIO PÚBLICO FEDERAL</v>
      </c>
      <c r="C1" s="128"/>
      <c r="D1" s="128"/>
      <c r="E1" s="128"/>
      <c r="F1" s="128"/>
    </row>
    <row r="2" s="1" customFormat="true" ht="20.25" hidden="false" customHeight="false" outlineLevel="0" collapsed="false">
      <c r="B2" s="129" t="str">
        <f aca="false">UG</f>
        <v>UNIDADE GESTORA (SIGLA): PRMS</v>
      </c>
      <c r="C2" s="129"/>
      <c r="D2" s="129"/>
      <c r="E2" s="130" t="s">
        <v>2</v>
      </c>
      <c r="F2" s="131" t="n">
        <f aca="false">IF(DATA_DO_ORCAMENTO_ESTIMATIVO="","",DATA_DO_ORCAMENTO_ESTIMATIVO)</f>
        <v>44915</v>
      </c>
    </row>
    <row r="3" s="3" customFormat="true" ht="25.5" hidden="false" customHeight="false" outlineLevel="0" collapsed="false">
      <c r="B3" s="6" t="s">
        <v>250</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225</v>
      </c>
      <c r="C5" s="8"/>
      <c r="D5" s="132" t="str">
        <f aca="false">NUMERO_PROCESSO</f>
        <v>1.21.000.000675/2022-97</v>
      </c>
      <c r="E5" s="132"/>
      <c r="F5" s="132"/>
    </row>
    <row r="6" s="3" customFormat="true" ht="15.75" hidden="false" customHeight="true" outlineLevel="0" collapsed="false">
      <c r="B6" s="10" t="s">
        <v>226</v>
      </c>
      <c r="C6" s="10"/>
      <c r="D6" s="133" t="str">
        <f aca="false">MODALIDADE_DE_LICITACAO</f>
        <v>Pregão nº</v>
      </c>
      <c r="E6" s="133"/>
      <c r="F6" s="134" t="str">
        <f aca="false">NUMERO_PREGAO</f>
        <v>1/2022</v>
      </c>
    </row>
    <row r="7" s="13" customFormat="true" ht="15.75" hidden="false" customHeight="true" outlineLevel="0" collapsed="false">
      <c r="B7" s="135" t="s">
        <v>227</v>
      </c>
      <c r="C7" s="135"/>
      <c r="D7" s="135"/>
      <c r="E7" s="135"/>
      <c r="F7" s="135"/>
    </row>
    <row r="8" s="3" customFormat="true" ht="18" hidden="false" customHeight="true" outlineLevel="0" collapsed="false">
      <c r="B8" s="19" t="s">
        <v>17</v>
      </c>
      <c r="C8" s="8" t="s">
        <v>18</v>
      </c>
      <c r="D8" s="8"/>
      <c r="E8" s="8"/>
      <c r="F8" s="136" t="s">
        <v>229</v>
      </c>
    </row>
    <row r="9" s="3" customFormat="true" ht="15.95" hidden="false" customHeight="true" outlineLevel="0" collapsed="false">
      <c r="B9" s="21" t="s">
        <v>19</v>
      </c>
      <c r="C9" s="22" t="s">
        <v>20</v>
      </c>
      <c r="D9" s="114" t="str">
        <f aca="false">IF(LOCAL_DE_EXECUCAO="","",LOCAL_DE_EXECUCAO)</f>
        <v/>
      </c>
      <c r="E9" s="114"/>
      <c r="F9" s="114"/>
    </row>
    <row r="10" s="3" customFormat="true" ht="18.75" hidden="false" customHeight="true" outlineLevel="0" collapsed="false">
      <c r="B10" s="19" t="s">
        <v>21</v>
      </c>
      <c r="C10" s="8" t="s">
        <v>25</v>
      </c>
      <c r="D10" s="8"/>
      <c r="E10" s="8"/>
      <c r="F10" s="137" t="str">
        <f aca="false">ACORDO_COLETIVO</f>
        <v>01/2022</v>
      </c>
    </row>
    <row r="11" s="3" customFormat="true" ht="15.95" hidden="false" customHeight="true" outlineLevel="0" collapsed="false">
      <c r="B11" s="21" t="s">
        <v>24</v>
      </c>
      <c r="C11" s="114" t="s">
        <v>28</v>
      </c>
      <c r="D11" s="114"/>
      <c r="E11" s="114"/>
      <c r="F11" s="67" t="n">
        <f aca="false">NUMERO_MESES_EXEC_CONTRATUAL</f>
        <v>12</v>
      </c>
    </row>
    <row r="12" s="3" customFormat="true" ht="16.5" hidden="false" customHeight="false" outlineLevel="0" collapsed="false">
      <c r="B12" s="21" t="s">
        <v>27</v>
      </c>
      <c r="C12" s="138" t="s">
        <v>251</v>
      </c>
      <c r="D12" s="138"/>
      <c r="E12" s="138"/>
      <c r="F12" s="26" t="n">
        <f aca="false">IF(QTDE_DE_SERV=0,"",QTDE_DE_SERV)</f>
        <v>6</v>
      </c>
    </row>
    <row r="13" s="139" customFormat="true" ht="15" hidden="false" customHeight="true" outlineLevel="0" collapsed="false">
      <c r="B13" s="140" t="s">
        <v>49</v>
      </c>
      <c r="C13" s="141"/>
      <c r="D13" s="141"/>
      <c r="E13" s="141"/>
      <c r="F13" s="141"/>
    </row>
    <row r="14" s="3" customFormat="true" ht="16.5" hidden="false" customHeight="false" outlineLevel="0" collapsed="false">
      <c r="B14" s="19" t="n">
        <v>1</v>
      </c>
      <c r="C14" s="8" t="s">
        <v>43</v>
      </c>
      <c r="D14" s="8"/>
      <c r="E14" s="26" t="str">
        <f aca="false">TIPO_DE_SERVICO</f>
        <v>Limpeza e Conservação</v>
      </c>
      <c r="F14" s="26"/>
    </row>
    <row r="15" s="13" customFormat="true" ht="16.5" hidden="false" customHeight="false" outlineLevel="0" collapsed="false">
      <c r="B15" s="19" t="n">
        <v>2</v>
      </c>
      <c r="C15" s="39" t="s">
        <v>45</v>
      </c>
      <c r="D15" s="142" t="str">
        <f aca="false">CBO</f>
        <v>5143-20</v>
      </c>
      <c r="E15" s="142"/>
      <c r="F15" s="142"/>
    </row>
    <row r="16" s="3" customFormat="true" ht="15" hidden="false" customHeight="true" outlineLevel="0" collapsed="false">
      <c r="B16" s="19" t="n">
        <v>3</v>
      </c>
      <c r="C16" s="143" t="s">
        <v>231</v>
      </c>
      <c r="D16" s="132" t="str">
        <f aca="false">CATEGORIA_PROFISSIONAL_SERV</f>
        <v>Servente Campo Grande</v>
      </c>
      <c r="E16" s="132"/>
      <c r="F16" s="132"/>
    </row>
    <row r="17" s="3" customFormat="true" ht="15" hidden="false" customHeight="true" outlineLevel="0" collapsed="false">
      <c r="B17" s="19" t="n">
        <v>4</v>
      </c>
      <c r="C17" s="10" t="s">
        <v>47</v>
      </c>
      <c r="D17" s="10"/>
      <c r="E17" s="10"/>
      <c r="F17" s="179" t="n">
        <f aca="false">DATA_BASE_CATEGORIA</f>
        <v>44562</v>
      </c>
    </row>
    <row r="18" s="146" customFormat="true" ht="20.25" hidden="false" customHeight="true" outlineLevel="0" collapsed="false">
      <c r="B18" s="147" t="s">
        <v>232</v>
      </c>
      <c r="C18" s="147"/>
      <c r="D18" s="147"/>
      <c r="E18" s="147"/>
      <c r="F18" s="147"/>
    </row>
    <row r="19" customFormat="false" ht="16.5" hidden="false" customHeight="false" outlineLevel="0" collapsed="false">
      <c r="B19" s="46" t="s">
        <v>50</v>
      </c>
      <c r="E19" s="47"/>
      <c r="F19" s="47"/>
    </row>
    <row r="20" customFormat="false" ht="16.5" hidden="false" customHeight="true" outlineLevel="0" collapsed="false">
      <c r="B20" s="21" t="n">
        <v>1</v>
      </c>
      <c r="C20" s="48" t="s">
        <v>51</v>
      </c>
      <c r="D20" s="48"/>
      <c r="E20" s="48"/>
      <c r="F20" s="49" t="s">
        <v>104</v>
      </c>
    </row>
    <row r="21" customFormat="false" ht="16.5" hidden="false" customHeight="true" outlineLevel="0" collapsed="false">
      <c r="B21" s="21" t="s">
        <v>17</v>
      </c>
      <c r="C21" s="79" t="s">
        <v>233</v>
      </c>
      <c r="D21" s="79"/>
      <c r="E21" s="79"/>
      <c r="F21" s="148" t="n">
        <f aca="false">SALARIO_NORMATIVO_SERV</f>
        <v>1217</v>
      </c>
    </row>
    <row r="22" s="1" customFormat="true" ht="16.5" hidden="false" customHeight="true" outlineLevel="0" collapsed="false">
      <c r="B22" s="21" t="s">
        <v>19</v>
      </c>
      <c r="C22" s="25" t="s">
        <v>234</v>
      </c>
      <c r="D22" s="25"/>
      <c r="E22" s="25"/>
      <c r="F22" s="149" t="n">
        <f aca="false">IF(ADIC_INSALUB_SERV="SIM",PERC_ADIC_INSALUB%*SAL_MINIMO,0)</f>
        <v>0</v>
      </c>
    </row>
    <row r="23" customFormat="false" ht="16.5" hidden="false" customHeight="false" outlineLevel="0" collapsed="false">
      <c r="B23" s="21" t="s">
        <v>21</v>
      </c>
      <c r="C23" s="79" t="str">
        <f aca="false">OUTROS_REMUNERACAO_1_DESCRICAO</f>
        <v>Gratificação de função (Apenas para encarregada)</v>
      </c>
      <c r="D23" s="79"/>
      <c r="E23" s="79"/>
      <c r="F23" s="148" t="n">
        <f aca="false">OUTROS_REMUNERACAO_1-'INSERÇÃO-DE-DADOS_MÃO DE OBRA'!F33</f>
        <v>0</v>
      </c>
    </row>
    <row r="24" customFormat="false" ht="15.75" hidden="false" customHeight="true" outlineLevel="0" collapsed="false">
      <c r="B24" s="21" t="s">
        <v>24</v>
      </c>
      <c r="C24" s="50" t="str">
        <f aca="false">OUTROS_REMUNERACAO_2_DESCRICAO</f>
        <v>Outras Remunerações 2 (Especificar)</v>
      </c>
      <c r="D24" s="50"/>
      <c r="E24" s="50"/>
      <c r="F24" s="149" t="n">
        <f aca="false">OUTROS_REMUNERACAO_2</f>
        <v>0</v>
      </c>
    </row>
    <row r="25" customFormat="false" ht="15.75" hidden="false" customHeight="true" outlineLevel="0" collapsed="false">
      <c r="B25" s="21" t="s">
        <v>27</v>
      </c>
      <c r="C25" s="79" t="str">
        <f aca="false">OUTROS_REMUNERACAO_3_DESCRICAO</f>
        <v>Outras Remunerações 3 (Especificar)</v>
      </c>
      <c r="D25" s="79"/>
      <c r="E25" s="79"/>
      <c r="F25" s="148" t="n">
        <f aca="false">OUTROS_REMUNERACAO_3</f>
        <v>0</v>
      </c>
    </row>
    <row r="26" customFormat="false" ht="15.75" hidden="false" customHeight="true" outlineLevel="0" collapsed="false">
      <c r="B26" s="48" t="s">
        <v>63</v>
      </c>
      <c r="C26" s="48"/>
      <c r="D26" s="48"/>
      <c r="E26" s="48"/>
      <c r="F26" s="150" t="n">
        <f aca="false">SUM(F21:F25)</f>
        <v>1217</v>
      </c>
      <c r="L26" s="177"/>
      <c r="M26" s="177"/>
    </row>
    <row r="27" customFormat="false" ht="16.5" hidden="false" customHeight="false" outlineLevel="0" collapsed="false">
      <c r="B27" s="46" t="s">
        <v>57</v>
      </c>
      <c r="E27" s="56"/>
      <c r="F27" s="56"/>
      <c r="L27" s="177"/>
      <c r="M27" s="177"/>
    </row>
    <row r="28" customFormat="false" ht="16.5" hidden="false" customHeight="false" outlineLevel="0" collapsed="false">
      <c r="B28" s="46" t="s">
        <v>192</v>
      </c>
      <c r="C28" s="74"/>
      <c r="D28" s="75"/>
      <c r="E28" s="76"/>
      <c r="F28" s="76"/>
      <c r="L28" s="177"/>
      <c r="M28" s="177"/>
      <c r="N28" s="180"/>
    </row>
    <row r="29" customFormat="false" ht="16.5" hidden="false" customHeight="false" outlineLevel="0" collapsed="false">
      <c r="B29" s="21" t="s">
        <v>193</v>
      </c>
      <c r="C29" s="61" t="s">
        <v>194</v>
      </c>
      <c r="D29" s="61"/>
      <c r="E29" s="49" t="s">
        <v>92</v>
      </c>
      <c r="F29" s="49" t="s">
        <v>104</v>
      </c>
      <c r="L29" s="177"/>
      <c r="M29" s="177"/>
      <c r="N29" s="180"/>
    </row>
    <row r="30" customFormat="false" ht="16.5" hidden="false" customHeight="true" outlineLevel="0" collapsed="false">
      <c r="B30" s="21" t="s">
        <v>17</v>
      </c>
      <c r="C30" s="59" t="s">
        <v>196</v>
      </c>
      <c r="D30" s="59"/>
      <c r="E30" s="117" t="n">
        <f aca="false">PERC_DEC_TERC</f>
        <v>8.33333333333333</v>
      </c>
      <c r="F30" s="113" t="n">
        <f aca="false">PERC_DEC_TERC%*MOD_1_REMUNERACAO_SERV</f>
        <v>101.416666666667</v>
      </c>
      <c r="L30" s="177"/>
      <c r="M30" s="177"/>
      <c r="N30" s="180"/>
    </row>
    <row r="31" customFormat="false" ht="16.5" hidden="false" customHeight="true" outlineLevel="0" collapsed="false">
      <c r="B31" s="49" t="s">
        <v>19</v>
      </c>
      <c r="C31" s="25" t="s">
        <v>198</v>
      </c>
      <c r="D31" s="25"/>
      <c r="E31" s="119" t="n">
        <f aca="false">PERC_ADIC_FERIAS</f>
        <v>2.77777777777778</v>
      </c>
      <c r="F31" s="115" t="n">
        <f aca="false">PERC_ADIC_FERIAS%*MOD_1_REMUNERACAO_SERV</f>
        <v>33.8055555555556</v>
      </c>
      <c r="L31" s="177"/>
      <c r="M31" s="177"/>
      <c r="N31" s="180"/>
    </row>
    <row r="32" customFormat="false" ht="16.5" hidden="false" customHeight="false" outlineLevel="0" collapsed="false">
      <c r="B32" s="61" t="s">
        <v>63</v>
      </c>
      <c r="C32" s="61"/>
      <c r="D32" s="61"/>
      <c r="E32" s="61"/>
      <c r="F32" s="62" t="n">
        <f aca="false">SUM(F30:F31)</f>
        <v>135.222222222222</v>
      </c>
      <c r="L32" s="177"/>
      <c r="M32" s="177"/>
    </row>
    <row r="33" customFormat="false" ht="31.6" hidden="false" customHeight="true" outlineLevel="0" collapsed="false">
      <c r="B33" s="151" t="s">
        <v>58</v>
      </c>
      <c r="C33" s="151"/>
      <c r="D33" s="151"/>
      <c r="E33" s="151"/>
      <c r="F33" s="151"/>
      <c r="L33" s="177"/>
      <c r="M33" s="177"/>
    </row>
    <row r="34" customFormat="false" ht="31.6" hidden="false" customHeight="true" outlineLevel="0" collapsed="false">
      <c r="B34" s="21" t="s">
        <v>59</v>
      </c>
      <c r="C34" s="58" t="s">
        <v>60</v>
      </c>
      <c r="D34" s="58"/>
      <c r="E34" s="49" t="s">
        <v>92</v>
      </c>
      <c r="F34" s="49" t="s">
        <v>104</v>
      </c>
      <c r="L34" s="177"/>
      <c r="M34" s="177"/>
    </row>
    <row r="35" s="118" customFormat="true" ht="16.5" hidden="false" customHeight="true" outlineLevel="0" collapsed="false">
      <c r="B35" s="21" t="s">
        <v>17</v>
      </c>
      <c r="C35" s="59" t="s">
        <v>200</v>
      </c>
      <c r="D35" s="59"/>
      <c r="E35" s="117" t="n">
        <f aca="false">PERC_INSS</f>
        <v>20</v>
      </c>
      <c r="F35" s="113" t="n">
        <f aca="false">PERC_INSS%*(MOD_1_REMUNERACAO_SERV+SUBMOD_2_1_DEC_TERC_ADIC_FERIAS_SERV)</f>
        <v>270.444444444444</v>
      </c>
      <c r="H35" s="177"/>
      <c r="I35" s="177"/>
      <c r="J35" s="177"/>
      <c r="K35" s="177"/>
      <c r="L35" s="177"/>
      <c r="M35" s="177"/>
      <c r="N35" s="178"/>
    </row>
    <row r="36" s="54" customFormat="true" ht="16.5" hidden="false" customHeight="true" outlineLevel="0" collapsed="false">
      <c r="B36" s="49" t="s">
        <v>19</v>
      </c>
      <c r="C36" s="25" t="s">
        <v>201</v>
      </c>
      <c r="D36" s="25"/>
      <c r="E36" s="126" t="n">
        <f aca="false">PERC_SAL_EDUCACAO</f>
        <v>2.5</v>
      </c>
      <c r="F36" s="115" t="n">
        <f aca="false">PERC_SAL_EDUCACAO%*(MOD_1_REMUNERACAO_SERV+SUBMOD_2_1_DEC_TERC_ADIC_FERIAS_SERV)</f>
        <v>33.8055555555556</v>
      </c>
      <c r="H36" s="177"/>
      <c r="I36" s="177"/>
      <c r="J36" s="177"/>
      <c r="K36" s="177"/>
      <c r="L36" s="177"/>
      <c r="M36" s="177"/>
      <c r="N36" s="178"/>
    </row>
    <row r="37" s="54" customFormat="true" ht="16.5" hidden="false" customHeight="true" outlineLevel="0" collapsed="false">
      <c r="B37" s="49" t="s">
        <v>21</v>
      </c>
      <c r="C37" s="59" t="s">
        <v>235</v>
      </c>
      <c r="D37" s="59"/>
      <c r="E37" s="117" t="n">
        <f aca="false">PERC_RAT</f>
        <v>3</v>
      </c>
      <c r="F37" s="113" t="n">
        <f aca="false">PERC_RAT%*(MOD_1_REMUNERACAO_SERV+SUBMOD_2_1_DEC_TERC_ADIC_FERIAS_SERV)</f>
        <v>40.5666666666667</v>
      </c>
      <c r="H37" s="177"/>
      <c r="I37" s="177"/>
      <c r="J37" s="177"/>
      <c r="K37" s="177"/>
      <c r="L37" s="177"/>
      <c r="M37" s="177"/>
      <c r="N37" s="178"/>
    </row>
    <row r="38" s="54" customFormat="true" ht="16.5" hidden="false" customHeight="true" outlineLevel="0" collapsed="false">
      <c r="B38" s="49" t="s">
        <v>24</v>
      </c>
      <c r="C38" s="25" t="s">
        <v>203</v>
      </c>
      <c r="D38" s="25"/>
      <c r="E38" s="119" t="n">
        <f aca="false">PERC_SESC</f>
        <v>1.5</v>
      </c>
      <c r="F38" s="115" t="n">
        <f aca="false">PERC_SESC%*(MOD_1_REMUNERACAO_SERV+SUBMOD_2_1_DEC_TERC_ADIC_FERIAS_SERV)</f>
        <v>20.2833333333333</v>
      </c>
      <c r="H38" s="177"/>
      <c r="I38" s="177"/>
      <c r="J38" s="177"/>
      <c r="K38" s="177"/>
      <c r="L38" s="177"/>
      <c r="M38" s="177"/>
      <c r="N38" s="178"/>
    </row>
    <row r="39" customFormat="false" ht="16.5" hidden="false" customHeight="true" outlineLevel="0" collapsed="false">
      <c r="B39" s="49" t="s">
        <v>27</v>
      </c>
      <c r="C39" s="59" t="s">
        <v>204</v>
      </c>
      <c r="D39" s="59"/>
      <c r="E39" s="117" t="n">
        <f aca="false">PERC_SENAC</f>
        <v>1</v>
      </c>
      <c r="F39" s="113" t="n">
        <f aca="false">PERC_SENAC%*(MOD_1_REMUNERACAO_SERV+SUBMOD_2_1_DEC_TERC_ADIC_FERIAS_SERV)</f>
        <v>13.5222222222222</v>
      </c>
      <c r="L39" s="177"/>
      <c r="M39" s="177"/>
    </row>
    <row r="40" s="3" customFormat="true" ht="16.5" hidden="false" customHeight="true" outlineLevel="0" collapsed="false">
      <c r="B40" s="49" t="s">
        <v>86</v>
      </c>
      <c r="C40" s="25" t="s">
        <v>205</v>
      </c>
      <c r="D40" s="25"/>
      <c r="E40" s="126" t="n">
        <f aca="false">PERC_SEBRAE</f>
        <v>0.6</v>
      </c>
      <c r="F40" s="115" t="n">
        <f aca="false">PERC_SEBRAE%*(MOD_1_REMUNERACAO_SERV+SUBMOD_2_1_DEC_TERC_ADIC_FERIAS_SERV)</f>
        <v>8.11333333333334</v>
      </c>
      <c r="H40" s="178"/>
      <c r="I40" s="178"/>
      <c r="J40" s="178"/>
      <c r="K40" s="178"/>
      <c r="L40" s="178"/>
      <c r="M40" s="178"/>
      <c r="N40" s="178"/>
    </row>
    <row r="41" s="3" customFormat="true" ht="16.5" hidden="false" customHeight="true" outlineLevel="0" collapsed="false">
      <c r="B41" s="49" t="s">
        <v>167</v>
      </c>
      <c r="C41" s="59" t="s">
        <v>206</v>
      </c>
      <c r="D41" s="59"/>
      <c r="E41" s="117" t="n">
        <f aca="false">PERC_INCRA</f>
        <v>0.2</v>
      </c>
      <c r="F41" s="113" t="n">
        <f aca="false">PERC_INCRA%*(MOD_1_REMUNERACAO_SERV+SUBMOD_2_1_DEC_TERC_ADIC_FERIAS_SERV)</f>
        <v>2.70444444444444</v>
      </c>
      <c r="H41" s="178"/>
      <c r="I41" s="178"/>
      <c r="J41" s="178"/>
      <c r="K41" s="178"/>
      <c r="L41" s="178"/>
      <c r="M41" s="178"/>
      <c r="N41" s="178"/>
    </row>
    <row r="42" s="3" customFormat="true" ht="16.5" hidden="false" customHeight="true" outlineLevel="0" collapsed="false">
      <c r="B42" s="49" t="s">
        <v>169</v>
      </c>
      <c r="C42" s="25" t="s">
        <v>207</v>
      </c>
      <c r="D42" s="25"/>
      <c r="E42" s="126" t="n">
        <f aca="false">PERC_FGTS</f>
        <v>8</v>
      </c>
      <c r="F42" s="115" t="n">
        <f aca="false">PERC_FGTS%*(MOD_1_REMUNERACAO_SERV+SUBMOD_2_1_DEC_TERC_ADIC_FERIAS_SERV)</f>
        <v>108.177777777778</v>
      </c>
      <c r="H42" s="178"/>
      <c r="I42" s="178"/>
      <c r="J42" s="178"/>
      <c r="K42" s="178"/>
      <c r="L42" s="178"/>
      <c r="M42" s="178"/>
      <c r="N42" s="178"/>
    </row>
    <row r="43" s="3" customFormat="true" ht="16.5" hidden="false" customHeight="false" outlineLevel="0" collapsed="false">
      <c r="B43" s="61" t="s">
        <v>63</v>
      </c>
      <c r="C43" s="61"/>
      <c r="D43" s="61"/>
      <c r="E43" s="61"/>
      <c r="F43" s="152" t="n">
        <f aca="false">SUM(F35:F42)</f>
        <v>497.617777777778</v>
      </c>
      <c r="H43" s="178"/>
      <c r="I43" s="178"/>
      <c r="J43" s="178"/>
      <c r="K43" s="178"/>
      <c r="L43" s="178"/>
      <c r="M43" s="178"/>
      <c r="N43" s="178"/>
    </row>
    <row r="44" s="13" customFormat="true" ht="16.5" hidden="false" customHeight="false" outlineLevel="0" collapsed="false">
      <c r="B44" s="46" t="s">
        <v>65</v>
      </c>
      <c r="H44" s="178"/>
      <c r="I44" s="178"/>
      <c r="J44" s="178"/>
      <c r="K44" s="178"/>
      <c r="L44" s="178"/>
      <c r="M44" s="178"/>
      <c r="N44" s="178"/>
    </row>
    <row r="45" s="13" customFormat="true" ht="16.5" hidden="false" customHeight="true" outlineLevel="0" collapsed="false">
      <c r="B45" s="21" t="s">
        <v>66</v>
      </c>
      <c r="C45" s="48" t="s">
        <v>67</v>
      </c>
      <c r="D45" s="48"/>
      <c r="E45" s="48"/>
      <c r="F45" s="49" t="s">
        <v>104</v>
      </c>
      <c r="H45" s="181"/>
      <c r="I45" s="181"/>
      <c r="J45" s="181"/>
      <c r="K45" s="181"/>
      <c r="L45" s="181"/>
      <c r="M45" s="181"/>
      <c r="N45" s="181"/>
    </row>
    <row r="46" customFormat="false" ht="16.5" hidden="false" customHeight="true" outlineLevel="0" collapsed="false">
      <c r="B46" s="19" t="s">
        <v>17</v>
      </c>
      <c r="C46" s="59" t="s">
        <v>70</v>
      </c>
      <c r="D46" s="59"/>
      <c r="E46" s="59"/>
      <c r="F46" s="113" t="n">
        <f aca="false">IF(DIAS_TRABALHADOS_NO_MES=15,(TRANSPORTE_POR_DIA*DIAS_TRABALHADOS_NO_MES)-(PERC_DESC_TRANSP_REMUNERACAO%*(AL_1_A_SAL_BASE_SERV/2)),IF(DIAS_TRABALHADOS_NO_MES=22,('INSERÇÃO-DE-DADOS_MÃO DE OBRA'!F46*DIAS_TRABALHADOS_NO_MES)-(PERC_DESC_TRANSP_REMUNERACAO%*(AL_1_A_SAL_BASE_SERV))))</f>
        <v>120.58</v>
      </c>
      <c r="H46" s="181"/>
      <c r="I46" s="181"/>
      <c r="J46" s="181"/>
      <c r="K46" s="181"/>
      <c r="L46" s="181"/>
      <c r="M46" s="181"/>
      <c r="N46" s="181"/>
    </row>
    <row r="47" customFormat="false" ht="16.5" hidden="false" customHeight="true" outlineLevel="0" collapsed="false">
      <c r="B47" s="19" t="s">
        <v>19</v>
      </c>
      <c r="C47" s="25" t="s">
        <v>80</v>
      </c>
      <c r="D47" s="25"/>
      <c r="E47" s="25"/>
      <c r="F47" s="115" t="n">
        <f aca="false">ALIMENTACAO_POR_DIA*DIAS_TRABALHADOS_NO_MES</f>
        <v>272.25</v>
      </c>
      <c r="H47" s="181"/>
      <c r="I47" s="181"/>
      <c r="J47" s="181"/>
      <c r="K47" s="181"/>
      <c r="L47" s="181"/>
      <c r="M47" s="181"/>
      <c r="N47" s="181"/>
    </row>
    <row r="48" customFormat="false" ht="15.75" hidden="false" customHeight="true" outlineLevel="0" collapsed="false">
      <c r="B48" s="19" t="s">
        <v>21</v>
      </c>
      <c r="C48" s="79" t="str">
        <f aca="false">OUTROS_BENEFICIOS_1_DESCRICAO</f>
        <v>Outros benefícios (Especificar)</v>
      </c>
      <c r="D48" s="79"/>
      <c r="E48" s="79"/>
      <c r="F48" s="113" t="n">
        <f aca="false">OUTROS_BENEFICIOS_1</f>
        <v>0</v>
      </c>
      <c r="H48" s="181"/>
      <c r="I48" s="181"/>
      <c r="J48" s="181"/>
      <c r="K48" s="181"/>
      <c r="L48" s="181"/>
      <c r="M48" s="181"/>
      <c r="N48" s="181"/>
    </row>
    <row r="49" customFormat="false" ht="15.75" hidden="false" customHeight="true" outlineLevel="0" collapsed="false">
      <c r="B49" s="19" t="s">
        <v>24</v>
      </c>
      <c r="C49" s="50" t="str">
        <f aca="false">OUTROS_BENEFICIOS_2_DESCRICAO</f>
        <v>Outros benefícios (Especificar)</v>
      </c>
      <c r="D49" s="50"/>
      <c r="E49" s="50"/>
      <c r="F49" s="115" t="n">
        <f aca="false">OUTROS_BENEFICIOS_2</f>
        <v>0</v>
      </c>
      <c r="L49" s="177"/>
      <c r="M49" s="177"/>
      <c r="N49" s="182"/>
    </row>
    <row r="50" customFormat="false" ht="16.5" hidden="false" customHeight="false" outlineLevel="0" collapsed="false">
      <c r="B50" s="19" t="s">
        <v>27</v>
      </c>
      <c r="C50" s="79" t="str">
        <f aca="false">OUTROS_BENEFICIOS_3_DESCRICAO</f>
        <v>Outros benefícios (Especificar)</v>
      </c>
      <c r="D50" s="79"/>
      <c r="E50" s="79"/>
      <c r="F50" s="113" t="n">
        <f aca="false">OUTROS_BENEFICIOS_3</f>
        <v>0</v>
      </c>
      <c r="L50" s="177"/>
      <c r="M50" s="177"/>
      <c r="N50" s="182"/>
    </row>
    <row r="51" s="54" customFormat="true" ht="16.5" hidden="false" customHeight="true" outlineLevel="0" collapsed="false">
      <c r="B51" s="48" t="s">
        <v>63</v>
      </c>
      <c r="C51" s="48"/>
      <c r="D51" s="48"/>
      <c r="E51" s="48"/>
      <c r="F51" s="150" t="n">
        <f aca="false">SUM(F46:F50)</f>
        <v>392.83</v>
      </c>
      <c r="H51" s="177"/>
      <c r="I51" s="177"/>
      <c r="J51" s="177"/>
      <c r="K51" s="177"/>
      <c r="L51" s="177"/>
      <c r="M51" s="177"/>
      <c r="N51" s="182"/>
    </row>
    <row r="52" s="54" customFormat="true" ht="13.8" hidden="false" customHeight="false" outlineLevel="0" collapsed="false">
      <c r="B52" s="46"/>
      <c r="C52" s="74"/>
      <c r="D52" s="75"/>
      <c r="E52" s="76"/>
      <c r="F52" s="76"/>
      <c r="H52" s="177"/>
      <c r="I52" s="177"/>
      <c r="J52" s="177"/>
      <c r="K52" s="177"/>
      <c r="L52" s="177"/>
      <c r="M52" s="177"/>
      <c r="N52" s="178"/>
    </row>
    <row r="53" s="54" customFormat="true" ht="13.8" hidden="false" customHeight="false" outlineLevel="0" collapsed="false">
      <c r="B53" s="46" t="s">
        <v>173</v>
      </c>
      <c r="C53" s="74"/>
      <c r="D53" s="75"/>
      <c r="E53" s="76"/>
      <c r="F53" s="76"/>
      <c r="H53" s="177"/>
      <c r="I53" s="177"/>
      <c r="J53" s="177"/>
      <c r="K53" s="177"/>
      <c r="L53" s="177"/>
      <c r="M53" s="177"/>
      <c r="N53" s="178"/>
    </row>
    <row r="54" s="54" customFormat="true" ht="16.5" hidden="false" customHeight="false" outlineLevel="0" collapsed="false">
      <c r="B54" s="21" t="n">
        <v>3</v>
      </c>
      <c r="C54" s="61" t="s">
        <v>174</v>
      </c>
      <c r="D54" s="61"/>
      <c r="E54" s="49" t="s">
        <v>92</v>
      </c>
      <c r="F54" s="49" t="s">
        <v>104</v>
      </c>
      <c r="H54" s="177"/>
      <c r="I54" s="177"/>
      <c r="J54" s="177"/>
      <c r="K54" s="177"/>
      <c r="L54" s="177"/>
      <c r="M54" s="177"/>
      <c r="N54" s="178"/>
    </row>
    <row r="55" s="54" customFormat="true" ht="16.4" hidden="false" customHeight="false" outlineLevel="0" collapsed="false">
      <c r="B55" s="21" t="s">
        <v>17</v>
      </c>
      <c r="C55" s="124" t="s">
        <v>208</v>
      </c>
      <c r="D55" s="124"/>
      <c r="E55" s="117" t="n">
        <f aca="false">PERC_AVISO_PREVIO_IND</f>
        <v>0.26011</v>
      </c>
      <c r="F55" s="113" t="n">
        <f aca="false">PERC_AVISO_PREVIO_IND%*(MOD_1_REMUNERACAO_SERV+SUBMOD_2_1_DEC_TERC_ADIC_FERIAS_SERV+AL_2_2_FGTS_SERV+SUBMOD_2_3_BENEFICIOS_SERV)</f>
        <v>4.820436553</v>
      </c>
      <c r="H55" s="177"/>
      <c r="I55" s="177"/>
      <c r="J55" s="177"/>
      <c r="K55" s="177"/>
      <c r="L55" s="177"/>
      <c r="M55" s="177"/>
      <c r="N55" s="178"/>
    </row>
    <row r="56" s="54" customFormat="true" ht="15" hidden="false" customHeight="true" outlineLevel="0" collapsed="false">
      <c r="B56" s="21" t="s">
        <v>19</v>
      </c>
      <c r="C56" s="125" t="s">
        <v>210</v>
      </c>
      <c r="D56" s="125"/>
      <c r="E56" s="126" t="n">
        <f aca="false">PERC_AVISO_PREVIO_TRAB</f>
        <v>1.03286322222222</v>
      </c>
      <c r="F56" s="115" t="n">
        <f aca="false">PERC_AVISO_PREVIO_TRAB%*(MOD_1_REMUNERACAO_SERV+SUBMOD_2_1_DEC_TERC_ADIC_FERIAS_SERV+SUBMOD_2_2_GPS_FGTS_SERV+SUBMOD_2_3_BENEFICIOS_SERV)</f>
        <v>23.1637136258111</v>
      </c>
      <c r="H56" s="177"/>
      <c r="I56" s="177"/>
      <c r="J56" s="177"/>
      <c r="K56" s="177"/>
      <c r="L56" s="177"/>
      <c r="M56" s="177"/>
      <c r="N56" s="178"/>
    </row>
    <row r="57" s="54" customFormat="true" ht="21.55" hidden="false" customHeight="true" outlineLevel="0" collapsed="false">
      <c r="B57" s="21" t="s">
        <v>21</v>
      </c>
      <c r="C57" s="124" t="s">
        <v>212</v>
      </c>
      <c r="D57" s="124"/>
      <c r="E57" s="117" t="n">
        <f aca="false">PERC_MULTA_FGTS_AV_PREV_TRAB</f>
        <v>0.04</v>
      </c>
      <c r="F57" s="113" t="n">
        <f aca="false">PERC_MULTA_FGTS_AV_PREV_TRAB%*(MOD_1_REMUNERACAO_SERV+SUBMOD_2_1_DEC_TERC_ADIC_FERIAS_SERV)</f>
        <v>0.540888888888889</v>
      </c>
      <c r="H57" s="177"/>
      <c r="I57" s="177"/>
      <c r="J57" s="177"/>
      <c r="K57" s="177"/>
      <c r="L57" s="177"/>
      <c r="M57" s="177"/>
      <c r="N57" s="178"/>
    </row>
    <row r="58" s="3" customFormat="true" ht="16.5" hidden="false" customHeight="false" outlineLevel="0" collapsed="false">
      <c r="B58" s="61" t="s">
        <v>63</v>
      </c>
      <c r="C58" s="61"/>
      <c r="D58" s="61"/>
      <c r="E58" s="61"/>
      <c r="F58" s="62" t="n">
        <f aca="false">SUM(F55:F57)</f>
        <v>28.5250390677</v>
      </c>
      <c r="H58" s="177"/>
      <c r="I58" s="177"/>
      <c r="J58" s="177"/>
      <c r="K58" s="177"/>
      <c r="L58" s="177"/>
      <c r="M58" s="177"/>
      <c r="N58" s="178"/>
    </row>
    <row r="59" s="3" customFormat="true" ht="16.5" hidden="false" customHeight="false" outlineLevel="0" collapsed="false">
      <c r="B59" s="46" t="s">
        <v>88</v>
      </c>
      <c r="C59" s="74"/>
      <c r="D59" s="75"/>
      <c r="E59" s="1"/>
      <c r="F59" s="1"/>
      <c r="H59" s="177"/>
      <c r="I59" s="177"/>
      <c r="J59" s="177"/>
      <c r="K59" s="177"/>
      <c r="L59" s="177"/>
      <c r="M59" s="177"/>
      <c r="N59" s="178"/>
    </row>
    <row r="60" s="3" customFormat="true" ht="16.5" hidden="false" customHeight="false" outlineLevel="0" collapsed="false">
      <c r="B60" s="46" t="s">
        <v>89</v>
      </c>
      <c r="C60" s="74"/>
      <c r="D60" s="75"/>
      <c r="E60" s="76"/>
      <c r="F60" s="76"/>
      <c r="H60" s="183"/>
      <c r="I60" s="183"/>
      <c r="J60" s="183"/>
      <c r="K60" s="183"/>
      <c r="L60" s="177"/>
      <c r="M60" s="177"/>
      <c r="N60" s="178"/>
    </row>
    <row r="61" s="3" customFormat="true" ht="16.5" hidden="false" customHeight="true" outlineLevel="0" collapsed="false">
      <c r="B61" s="21" t="s">
        <v>90</v>
      </c>
      <c r="C61" s="48" t="s">
        <v>91</v>
      </c>
      <c r="D61" s="48"/>
      <c r="E61" s="49" t="s">
        <v>92</v>
      </c>
      <c r="F61" s="49" t="s">
        <v>104</v>
      </c>
      <c r="H61" s="183"/>
      <c r="I61" s="183"/>
      <c r="J61" s="183"/>
      <c r="K61" s="183"/>
      <c r="L61" s="177"/>
      <c r="M61" s="177"/>
      <c r="N61" s="178"/>
    </row>
    <row r="62" customFormat="false" ht="16.5" hidden="false" customHeight="true" outlineLevel="0" collapsed="false">
      <c r="B62" s="49" t="s">
        <v>17</v>
      </c>
      <c r="C62" s="59" t="s">
        <v>214</v>
      </c>
      <c r="D62" s="59"/>
      <c r="E62" s="117" t="n">
        <f aca="false">PERC_SUBSTITUTO_FERIAS</f>
        <v>8.33333333333333</v>
      </c>
      <c r="F62" s="113" t="n">
        <f aca="false">PERC_SUBSTITUTO_FERIAS%*(MOD_1_REMUNERACAO_SERV+MOD_2_ENCARGOS_BENEFICIOS_SERV+MOD_3_PROVISAO_RESCISAO_SERV)</f>
        <v>189.266253255642</v>
      </c>
      <c r="H62" s="183"/>
      <c r="I62" s="183"/>
      <c r="J62" s="183"/>
      <c r="K62" s="183"/>
      <c r="L62" s="177"/>
      <c r="M62" s="177"/>
    </row>
    <row r="63" s="3" customFormat="true" ht="15.95" hidden="false" customHeight="true" outlineLevel="0" collapsed="false">
      <c r="B63" s="49" t="s">
        <v>19</v>
      </c>
      <c r="C63" s="25" t="s">
        <v>216</v>
      </c>
      <c r="D63" s="25"/>
      <c r="E63" s="126" t="n">
        <f aca="false">PERC_SUBSTITUTO_AUSENCIAS_LEGAIS</f>
        <v>2.22222222222222</v>
      </c>
      <c r="F63" s="115" t="n">
        <f aca="false">PERC_SUBSTITUTO_AUSENCIAS_LEGAIS%*(MOD_1_REMUNERACAO_SERV+MOD_2_ENCARGOS_BENEFICIOS_SERV+MOD_3_PROVISAO_RESCISAO_SERV)</f>
        <v>50.4710008681711</v>
      </c>
      <c r="H63" s="183"/>
      <c r="I63" s="183"/>
      <c r="J63" s="183"/>
      <c r="K63" s="183"/>
      <c r="L63" s="177"/>
      <c r="M63" s="177"/>
      <c r="N63" s="178"/>
    </row>
    <row r="64" s="3" customFormat="true" ht="15.95" hidden="false" customHeight="true" outlineLevel="0" collapsed="false">
      <c r="B64" s="49" t="s">
        <v>21</v>
      </c>
      <c r="C64" s="59" t="s">
        <v>218</v>
      </c>
      <c r="D64" s="59"/>
      <c r="E64" s="117" t="n">
        <f aca="false">PERC_SUBSTITUTO_LICENCA_PATERNIDADE</f>
        <v>0.0356735555555555</v>
      </c>
      <c r="F64" s="113" t="n">
        <f aca="false">PERC_SUBSTITUTO_LICENCA_PATERNIDADE%*(MOD_1_REMUNERACAO_SERV+MOD_2_ENCARGOS_BENEFICIOS_SERV+MOD_3_PROVISAO_RESCISAO_SERV)</f>
        <v>0.810216024036837</v>
      </c>
      <c r="H64" s="183"/>
      <c r="I64" s="183"/>
      <c r="J64" s="183"/>
      <c r="K64" s="183"/>
      <c r="L64" s="177"/>
      <c r="M64" s="177"/>
      <c r="N64" s="183"/>
    </row>
    <row r="65" s="3" customFormat="true" ht="16.5" hidden="false" customHeight="true" outlineLevel="0" collapsed="false">
      <c r="B65" s="49" t="s">
        <v>24</v>
      </c>
      <c r="C65" s="25" t="s">
        <v>220</v>
      </c>
      <c r="D65" s="25"/>
      <c r="E65" s="126" t="n">
        <f aca="false">PERC_SUBSTITUTO_ACID_TRAB</f>
        <v>0.0185302229372558</v>
      </c>
      <c r="F65" s="115" t="n">
        <f aca="false">PERC_SUBSTITUTO_ACID_TRAB%*(MOD_1_REMUNERACAO_SERV+MOD_2_ENCARGOS_BENEFICIOS_SERV+MOD_3_PROVISAO_RESCISAO_SERV)</f>
        <v>0.420857504079139</v>
      </c>
      <c r="H65" s="183"/>
      <c r="I65" s="183"/>
      <c r="J65" s="183"/>
      <c r="K65" s="183"/>
      <c r="L65" s="177"/>
      <c r="M65" s="177"/>
      <c r="N65" s="183"/>
    </row>
    <row r="66" s="3" customFormat="true" ht="15.95" hidden="false" customHeight="true" outlineLevel="0" collapsed="false">
      <c r="B66" s="49" t="s">
        <v>27</v>
      </c>
      <c r="C66" s="59" t="s">
        <v>222</v>
      </c>
      <c r="D66" s="59"/>
      <c r="E66" s="117" t="n">
        <f aca="false">PERC_SUBSTITUTO_AFAST_MATERN</f>
        <v>0.1427260032</v>
      </c>
      <c r="F66" s="113" t="n">
        <f aca="false">PERC_SUBSTITUTO_AFAST_MATERN%*(MOD_1_REMUNERACAO_SERV+MOD_2_ENCARGOS_BENEFICIOS_SERV+MOD_3_PROVISAO_RESCISAO_SERV)</f>
        <v>3.24158590413801</v>
      </c>
      <c r="H66" s="183"/>
      <c r="I66" s="183"/>
      <c r="J66" s="183"/>
      <c r="K66" s="183"/>
      <c r="L66" s="177"/>
      <c r="M66" s="177"/>
      <c r="N66" s="183"/>
    </row>
    <row r="67" s="3" customFormat="true" ht="15.95" hidden="false" customHeight="true" outlineLevel="0" collapsed="false">
      <c r="B67" s="49" t="s">
        <v>86</v>
      </c>
      <c r="C67" s="153" t="str">
        <f aca="false">OUTRAS_AUSENCIAS_DESCRICAO</f>
        <v>Outras Ausências (Especificar em %)</v>
      </c>
      <c r="D67" s="153"/>
      <c r="E67" s="154" t="n">
        <f aca="false">PERC_SUBSTITUTO_OUTRAS_AUSENCIAS</f>
        <v>0</v>
      </c>
      <c r="F67" s="115" t="n">
        <f aca="false">PERC_SUBSTITUTO_OUTRAS_AUSENCIAS%*(MOD_1_REMUNERACAO_SERV+MOD_2_ENCARGOS_BENEFICIOS_SERV+MOD_3_PROVISAO_RESCISAO_SERV)</f>
        <v>0</v>
      </c>
      <c r="H67" s="183"/>
      <c r="I67" s="183"/>
      <c r="J67" s="183"/>
      <c r="K67" s="183"/>
      <c r="L67" s="177"/>
      <c r="M67" s="177"/>
      <c r="N67" s="183"/>
    </row>
    <row r="68" s="3" customFormat="true" ht="15.95" hidden="false" customHeight="true" outlineLevel="0" collapsed="false">
      <c r="B68" s="61" t="s">
        <v>63</v>
      </c>
      <c r="C68" s="61"/>
      <c r="D68" s="61"/>
      <c r="E68" s="61"/>
      <c r="F68" s="62" t="n">
        <f aca="false">SUM(F62:F67)</f>
        <v>244.209913556067</v>
      </c>
      <c r="H68" s="183"/>
      <c r="I68" s="183"/>
      <c r="J68" s="183"/>
      <c r="K68" s="183"/>
      <c r="L68" s="177"/>
      <c r="M68" s="177"/>
      <c r="N68" s="183"/>
    </row>
    <row r="69" s="3" customFormat="true" ht="16.5" hidden="false" customHeight="false" outlineLevel="0" collapsed="false">
      <c r="B69" s="46" t="s">
        <v>94</v>
      </c>
      <c r="C69" s="74"/>
      <c r="D69" s="75"/>
      <c r="E69" s="76"/>
      <c r="F69" s="76"/>
      <c r="H69" s="183"/>
      <c r="I69" s="183"/>
      <c r="J69" s="183"/>
      <c r="K69" s="183"/>
      <c r="L69" s="177"/>
      <c r="M69" s="177"/>
      <c r="N69" s="183"/>
    </row>
    <row r="70" s="3" customFormat="true" ht="16.5" hidden="false" customHeight="false" outlineLevel="0" collapsed="false">
      <c r="B70" s="21" t="s">
        <v>95</v>
      </c>
      <c r="C70" s="61" t="s">
        <v>96</v>
      </c>
      <c r="D70" s="61"/>
      <c r="E70" s="61"/>
      <c r="F70" s="49" t="s">
        <v>104</v>
      </c>
      <c r="H70" s="183"/>
      <c r="I70" s="183"/>
      <c r="J70" s="183"/>
      <c r="K70" s="183"/>
      <c r="L70" s="177"/>
      <c r="M70" s="177"/>
      <c r="N70" s="183"/>
    </row>
    <row r="71" s="3" customFormat="true" ht="16.5" hidden="false" customHeight="true" outlineLevel="0" collapsed="false">
      <c r="B71" s="21" t="s">
        <v>17</v>
      </c>
      <c r="C71" s="59" t="s">
        <v>236</v>
      </c>
      <c r="D71" s="59"/>
      <c r="E71" s="59"/>
      <c r="F71" s="148" t="n">
        <f aca="false">IF(DIAS_TRABALHADOS_NO_MES=15,((MOD_1_REMUNERACAO_SERV+MOD_2_ENCARGOS_BENEFICIOS_SERV+MOD_3_PROVISAO_RESCISAO_SERV)/DIVISOR_DE_HORAS)*((TEMPO_INTERVALO_REFEICAO/HORA_NORMAL)+PERC_HORA_EXTRA%)*DIAS_TRABALHADOS_NO_MES,0)</f>
        <v>0</v>
      </c>
      <c r="H71" s="183"/>
      <c r="I71" s="183"/>
      <c r="J71" s="183"/>
      <c r="K71" s="183"/>
      <c r="L71" s="177"/>
      <c r="M71" s="177"/>
      <c r="N71" s="183"/>
    </row>
    <row r="72" s="3" customFormat="true" ht="16.5" hidden="false" customHeight="false" outlineLevel="0" collapsed="false">
      <c r="B72" s="61" t="s">
        <v>63</v>
      </c>
      <c r="C72" s="61"/>
      <c r="D72" s="61"/>
      <c r="E72" s="61"/>
      <c r="F72" s="62" t="n">
        <f aca="false">SUM(F71)</f>
        <v>0</v>
      </c>
      <c r="H72" s="183"/>
      <c r="I72" s="183"/>
      <c r="J72" s="183"/>
      <c r="K72" s="183"/>
      <c r="L72" s="177"/>
      <c r="M72" s="177"/>
      <c r="N72" s="183"/>
    </row>
    <row r="73" s="3" customFormat="true" ht="16.5" hidden="false" customHeight="false" outlineLevel="0" collapsed="false">
      <c r="B73" s="46" t="s">
        <v>101</v>
      </c>
      <c r="C73" s="74"/>
      <c r="D73" s="74"/>
      <c r="E73" s="76"/>
      <c r="F73" s="76"/>
      <c r="H73" s="183"/>
      <c r="I73" s="183"/>
      <c r="J73" s="183"/>
      <c r="K73" s="183"/>
      <c r="L73" s="177"/>
      <c r="M73" s="177"/>
      <c r="N73" s="183"/>
    </row>
    <row r="74" s="3" customFormat="true" ht="16.5" hidden="false" customHeight="true" outlineLevel="0" collapsed="false">
      <c r="B74" s="80" t="n">
        <v>5</v>
      </c>
      <c r="C74" s="155" t="s">
        <v>103</v>
      </c>
      <c r="D74" s="155"/>
      <c r="E74" s="155"/>
      <c r="F74" s="156" t="s">
        <v>104</v>
      </c>
      <c r="H74" s="177"/>
      <c r="I74" s="177"/>
      <c r="J74" s="177"/>
      <c r="K74" s="177"/>
      <c r="L74" s="177"/>
      <c r="M74" s="177"/>
      <c r="N74" s="183"/>
    </row>
    <row r="75" s="3" customFormat="true" ht="16.5" hidden="false" customHeight="true" outlineLevel="0" collapsed="false">
      <c r="B75" s="157" t="s">
        <v>17</v>
      </c>
      <c r="C75" s="158" t="s">
        <v>237</v>
      </c>
      <c r="D75" s="158"/>
      <c r="E75" s="158"/>
      <c r="F75" s="159" t="n">
        <f aca="false">UNIFORMES!I14</f>
        <v>64.2841666666667</v>
      </c>
      <c r="H75" s="177"/>
      <c r="I75" s="177"/>
      <c r="J75" s="177"/>
      <c r="K75" s="177"/>
      <c r="L75" s="177"/>
      <c r="M75" s="177"/>
      <c r="N75" s="183"/>
    </row>
    <row r="76" customFormat="false" ht="16.5" hidden="false" customHeight="true" outlineLevel="0" collapsed="false">
      <c r="B76" s="157" t="s">
        <v>19</v>
      </c>
      <c r="C76" s="160" t="s">
        <v>238</v>
      </c>
      <c r="D76" s="160"/>
      <c r="E76" s="160"/>
      <c r="F76" s="161" t="n">
        <f aca="false">'MATERIAIS E EQUIPAMENTOS'!K44+'MATERIAIS E EQUIPAMENTOS'!K74</f>
        <v>972.919916666667</v>
      </c>
      <c r="L76" s="177"/>
      <c r="M76" s="177"/>
      <c r="N76" s="183"/>
    </row>
    <row r="77" customFormat="false" ht="16.5" hidden="false" customHeight="true" outlineLevel="0" collapsed="false">
      <c r="B77" s="157" t="s">
        <v>21</v>
      </c>
      <c r="C77" s="158" t="s">
        <v>239</v>
      </c>
      <c r="D77" s="158"/>
      <c r="E77" s="158"/>
      <c r="F77" s="159" t="n">
        <f aca="false">'MATERIAIS E EQUIPAMENTOS'!K96</f>
        <v>27.4301866666667</v>
      </c>
      <c r="L77" s="177"/>
      <c r="M77" s="177"/>
      <c r="N77" s="183"/>
    </row>
    <row r="78" customFormat="false" ht="15.75" hidden="false" customHeight="true" outlineLevel="0" collapsed="false">
      <c r="B78" s="157" t="s">
        <v>24</v>
      </c>
      <c r="C78" s="162" t="str">
        <f aca="false">ENCARREGADO!C77</f>
        <v>Outros Insumos</v>
      </c>
      <c r="D78" s="162"/>
      <c r="E78" s="162"/>
      <c r="F78" s="161" t="n">
        <v>0</v>
      </c>
      <c r="L78" s="177"/>
      <c r="M78" s="177"/>
      <c r="N78" s="177"/>
    </row>
    <row r="79" customFormat="false" ht="16.5" hidden="false" customHeight="true" outlineLevel="0" collapsed="false">
      <c r="B79" s="155" t="s">
        <v>63</v>
      </c>
      <c r="C79" s="155"/>
      <c r="D79" s="155"/>
      <c r="E79" s="155"/>
      <c r="F79" s="163" t="n">
        <f aca="false">SUM(F75:F78)</f>
        <v>1064.63427</v>
      </c>
      <c r="L79" s="177"/>
      <c r="M79" s="177"/>
    </row>
    <row r="80" customFormat="false" ht="16.5" hidden="false" customHeight="true" outlineLevel="0" collapsed="false">
      <c r="B80" s="57" t="s">
        <v>105</v>
      </c>
      <c r="C80" s="57"/>
      <c r="D80" s="57"/>
      <c r="E80" s="57"/>
      <c r="F80" s="57"/>
      <c r="L80" s="177"/>
      <c r="M80" s="177"/>
    </row>
    <row r="81" customFormat="false" ht="16.5" hidden="false" customHeight="false" outlineLevel="0" collapsed="false">
      <c r="B81" s="21" t="n">
        <v>6</v>
      </c>
      <c r="C81" s="61" t="s">
        <v>241</v>
      </c>
      <c r="D81" s="61"/>
      <c r="E81" s="49" t="s">
        <v>92</v>
      </c>
      <c r="F81" s="49" t="s">
        <v>104</v>
      </c>
      <c r="L81" s="177"/>
      <c r="M81" s="177"/>
    </row>
    <row r="82" customFormat="false" ht="16.5" hidden="false" customHeight="true" outlineLevel="0" collapsed="false">
      <c r="B82" s="21" t="s">
        <v>17</v>
      </c>
      <c r="C82" s="59" t="s">
        <v>111</v>
      </c>
      <c r="D82" s="59"/>
      <c r="E82" s="164" t="n">
        <f aca="false">'INSERÇÃO-DE-DADOS_MÃO DE OBRA'!D71</f>
        <v>4.73</v>
      </c>
      <c r="F82" s="113" t="n">
        <f aca="false">E82%*(MOD_1_REMUNERACAO_SERV+MOD_2_ENCARGOS_BENEFICIOS_SERV+MOD_3_PROVISAO_RESCISAO_SERV+MOD_4_CUSTO_REPOSICAO_SERV+MOD_5_INSUMOS_SERV)</f>
        <v>169.335855230104</v>
      </c>
      <c r="L82" s="177"/>
      <c r="M82" s="177"/>
    </row>
    <row r="83" customFormat="false" ht="16.5" hidden="false" customHeight="true" outlineLevel="0" collapsed="false">
      <c r="B83" s="49" t="s">
        <v>19</v>
      </c>
      <c r="C83" s="25" t="s">
        <v>112</v>
      </c>
      <c r="D83" s="25"/>
      <c r="E83" s="165" t="n">
        <f aca="false">'INSERÇÃO-DE-DADOS_MÃO DE OBRA'!D72</f>
        <v>5.57</v>
      </c>
      <c r="F83" s="115" t="n">
        <f aca="false">E83%*(MOD_1_REMUNERACAO_SERV+MOD_2_ENCARGOS_BENEFICIOS_SERV+MOD_3_PROVISAO_RESCISAO_SERV+MOD_4_CUSTO_REPOSICAO_SERV+MOD_5_INSUMOS_SERV+AL_6_A_CUSTOS_INDIRETOS_SERV)</f>
        <v>208.840191836461</v>
      </c>
      <c r="L83" s="177"/>
      <c r="M83" s="177"/>
    </row>
    <row r="84" customFormat="false" ht="15" hidden="false" customHeight="true" outlineLevel="0" collapsed="false">
      <c r="B84" s="49" t="s">
        <v>21</v>
      </c>
      <c r="C84" s="59" t="s">
        <v>242</v>
      </c>
      <c r="D84" s="59"/>
      <c r="E84" s="164" t="n">
        <f aca="false">SUM(E85:E87)</f>
        <v>8.65</v>
      </c>
      <c r="F84" s="113" t="n">
        <f aca="false">SUM(F85:F87)</f>
        <v>374.806372006802</v>
      </c>
      <c r="L84" s="177"/>
      <c r="M84" s="177"/>
    </row>
    <row r="85" customFormat="false" ht="16.5" hidden="false" customHeight="true" outlineLevel="0" collapsed="false">
      <c r="B85" s="87" t="s">
        <v>113</v>
      </c>
      <c r="C85" s="166" t="s">
        <v>114</v>
      </c>
      <c r="D85" s="166"/>
      <c r="E85" s="167" t="n">
        <f aca="false">'INSERÇÃO-DE-DADOS_MÃO DE OBRA'!D73</f>
        <v>0.65</v>
      </c>
      <c r="F85" s="168" t="n">
        <f aca="false">((MOD_1_REMUNERACAO_SERV+MOD_2_ENCARGOS_BENEFICIOS_SERV+MOD_3_PROVISAO_RESCISAO_SERV+MOD_4_CUSTO_REPOSICAO_SERV+MOD_5_INSUMOS_SERV+AL_6_A_CUSTOS_INDIRETOS_SERV+AL_6_B_LUCRO_SERV)*E85%)/(1-PERC_TRIBUTOS%)</f>
        <v>28.1646406710314</v>
      </c>
      <c r="L85" s="177"/>
      <c r="M85" s="177"/>
    </row>
    <row r="86" customFormat="false" ht="16.5" hidden="false" customHeight="true" outlineLevel="0" collapsed="false">
      <c r="B86" s="87" t="s">
        <v>115</v>
      </c>
      <c r="C86" s="169" t="s">
        <v>116</v>
      </c>
      <c r="D86" s="169"/>
      <c r="E86" s="170" t="n">
        <f aca="false">'INSERÇÃO-DE-DADOS_MÃO DE OBRA'!D74</f>
        <v>3</v>
      </c>
      <c r="F86" s="171" t="n">
        <f aca="false">((MOD_1_REMUNERACAO_SERV+MOD_2_ENCARGOS_BENEFICIOS_SERV+MOD_3_PROVISAO_RESCISAO_SERV+MOD_4_CUSTO_REPOSICAO_SERV+MOD_5_INSUMOS_SERV+AL_6_A_CUSTOS_INDIRETOS_SERV+AL_6_B_LUCRO_SERV)*E86%)/(1-PERC_TRIBUTOS%)</f>
        <v>129.990649250914</v>
      </c>
      <c r="L86" s="177"/>
      <c r="M86" s="177"/>
    </row>
    <row r="87" customFormat="false" ht="15.75" hidden="false" customHeight="true" outlineLevel="0" collapsed="false">
      <c r="B87" s="87" t="s">
        <v>117</v>
      </c>
      <c r="C87" s="166" t="s">
        <v>118</v>
      </c>
      <c r="D87" s="166"/>
      <c r="E87" s="167" t="n">
        <f aca="false">'INSERÇÃO-DE-DADOS_MÃO DE OBRA'!D75</f>
        <v>5</v>
      </c>
      <c r="F87" s="168" t="n">
        <f aca="false">((MOD_1_REMUNERACAO_SERV+MOD_2_ENCARGOS_BENEFICIOS_SERV+MOD_3_PROVISAO_RESCISAO_SERV+MOD_4_CUSTO_REPOSICAO_SERV+MOD_5_INSUMOS_SERV+AL_6_A_CUSTOS_INDIRETOS_SERV+AL_6_B_LUCRO_SERV)*E87%)/(1-PERC_TRIBUTOS%)</f>
        <v>216.651082084857</v>
      </c>
      <c r="L87" s="177"/>
      <c r="M87" s="177"/>
    </row>
    <row r="88" customFormat="false" ht="16.5" hidden="false" customHeight="false" outlineLevel="0" collapsed="false">
      <c r="B88" s="61" t="s">
        <v>63</v>
      </c>
      <c r="C88" s="61"/>
      <c r="D88" s="61"/>
      <c r="E88" s="61"/>
      <c r="F88" s="172" t="n">
        <f aca="false">AL_6_A_CUSTOS_INDIRETOS_SERV+AL_6_B_LUCRO_SERV+AL_6_C_TRIBUTOS_SERV</f>
        <v>752.982419073367</v>
      </c>
      <c r="L88" s="177"/>
      <c r="M88" s="177"/>
    </row>
    <row r="89" customFormat="false" ht="15.75" hidden="false" customHeight="true" outlineLevel="0" collapsed="false">
      <c r="B89" s="173" t="s">
        <v>243</v>
      </c>
      <c r="C89" s="174"/>
      <c r="D89" s="174"/>
      <c r="E89" s="174"/>
      <c r="F89" s="175"/>
      <c r="L89" s="177"/>
      <c r="M89" s="177"/>
    </row>
    <row r="90" customFormat="false" ht="16.5" hidden="false" customHeight="true" outlineLevel="0" collapsed="false">
      <c r="B90" s="49" t="s">
        <v>244</v>
      </c>
      <c r="C90" s="48" t="s">
        <v>245</v>
      </c>
      <c r="D90" s="48"/>
      <c r="E90" s="48"/>
      <c r="F90" s="49" t="s">
        <v>246</v>
      </c>
      <c r="L90" s="177"/>
      <c r="M90" s="177"/>
    </row>
    <row r="91" s="81" customFormat="true" ht="16.5" hidden="false" customHeight="true" outlineLevel="0" collapsed="false">
      <c r="B91" s="21" t="n">
        <v>1</v>
      </c>
      <c r="C91" s="59" t="s">
        <v>51</v>
      </c>
      <c r="D91" s="59"/>
      <c r="E91" s="59"/>
      <c r="F91" s="113" t="n">
        <f aca="false">MOD_1_REMUNERACAO_SERV</f>
        <v>1217</v>
      </c>
      <c r="G91" s="176"/>
      <c r="H91" s="177"/>
      <c r="I91" s="177"/>
      <c r="J91" s="177"/>
      <c r="K91" s="177"/>
      <c r="L91" s="177"/>
      <c r="M91" s="177"/>
      <c r="N91" s="178"/>
    </row>
    <row r="92" s="81" customFormat="true" ht="16.5" hidden="false" customHeight="true" outlineLevel="0" collapsed="false">
      <c r="B92" s="49" t="n">
        <v>2</v>
      </c>
      <c r="C92" s="25" t="s">
        <v>247</v>
      </c>
      <c r="D92" s="25"/>
      <c r="E92" s="25"/>
      <c r="F92" s="115" t="n">
        <f aca="false">MOD_2_ENCARGOS_BENEFICIOS_SERV</f>
        <v>1025.67</v>
      </c>
      <c r="H92" s="177"/>
      <c r="I92" s="177"/>
      <c r="J92" s="177"/>
      <c r="K92" s="177"/>
      <c r="L92" s="177"/>
      <c r="M92" s="177"/>
      <c r="N92" s="178"/>
    </row>
    <row r="93" s="81" customFormat="true" ht="16.5" hidden="false" customHeight="true" outlineLevel="0" collapsed="false">
      <c r="B93" s="49" t="n">
        <v>3</v>
      </c>
      <c r="C93" s="59" t="s">
        <v>174</v>
      </c>
      <c r="D93" s="59"/>
      <c r="E93" s="59"/>
      <c r="F93" s="113" t="n">
        <f aca="false">MOD_3_PROVISAO_RESCISAO_SERV</f>
        <v>28.5250390677</v>
      </c>
      <c r="H93" s="177"/>
      <c r="I93" s="177"/>
      <c r="J93" s="177"/>
      <c r="K93" s="177"/>
      <c r="L93" s="177"/>
      <c r="M93" s="177"/>
      <c r="N93" s="178"/>
    </row>
    <row r="94" s="83" customFormat="true" ht="16.5" hidden="false" customHeight="true" outlineLevel="0" collapsed="false">
      <c r="B94" s="49" t="n">
        <v>4</v>
      </c>
      <c r="C94" s="25" t="s">
        <v>248</v>
      </c>
      <c r="D94" s="25"/>
      <c r="E94" s="25"/>
      <c r="F94" s="115" t="n">
        <f aca="false">MOD_4_CUSTO_REPOSICAO_SERV</f>
        <v>244.209913556067</v>
      </c>
      <c r="H94" s="177"/>
      <c r="I94" s="177"/>
      <c r="J94" s="177"/>
      <c r="K94" s="177"/>
      <c r="L94" s="177"/>
      <c r="M94" s="177"/>
      <c r="N94" s="178"/>
    </row>
    <row r="95" s="81" customFormat="true" ht="16.5" hidden="false" customHeight="true" outlineLevel="0" collapsed="false">
      <c r="B95" s="49" t="n">
        <v>5</v>
      </c>
      <c r="C95" s="59" t="s">
        <v>103</v>
      </c>
      <c r="D95" s="59"/>
      <c r="E95" s="59"/>
      <c r="F95" s="113" t="n">
        <f aca="false">MOD_5_INSUMOS_SERV</f>
        <v>1064.63427</v>
      </c>
      <c r="H95" s="177"/>
      <c r="I95" s="177"/>
      <c r="J95" s="177"/>
      <c r="K95" s="177"/>
      <c r="L95" s="177"/>
      <c r="M95" s="177"/>
      <c r="N95" s="178"/>
    </row>
    <row r="96" s="82" customFormat="true" ht="16.5" hidden="false" customHeight="true" outlineLevel="0" collapsed="false">
      <c r="B96" s="49" t="n">
        <v>6</v>
      </c>
      <c r="C96" s="25" t="s">
        <v>241</v>
      </c>
      <c r="D96" s="25"/>
      <c r="E96" s="25"/>
      <c r="F96" s="115" t="n">
        <f aca="false">MOD_6_CUSTOS_IND_LUCRO_TRIB_SERV</f>
        <v>752.982419073367</v>
      </c>
      <c r="H96" s="177"/>
      <c r="I96" s="177"/>
      <c r="J96" s="177"/>
      <c r="K96" s="177"/>
      <c r="L96" s="177"/>
      <c r="M96" s="177"/>
      <c r="N96" s="178"/>
    </row>
    <row r="97" s="82" customFormat="true" ht="16.5" hidden="false" customHeight="true" outlineLevel="0" collapsed="false">
      <c r="B97" s="48" t="s">
        <v>252</v>
      </c>
      <c r="C97" s="48"/>
      <c r="D97" s="48"/>
      <c r="E97" s="48"/>
      <c r="F97" s="172" t="n">
        <f aca="false">SUM(F91:F96)</f>
        <v>4333.02164169713</v>
      </c>
      <c r="H97" s="177"/>
      <c r="I97" s="177"/>
      <c r="J97" s="177"/>
      <c r="K97" s="177"/>
      <c r="L97" s="177"/>
      <c r="M97" s="177"/>
      <c r="N97" s="178"/>
    </row>
    <row r="98" s="82" customFormat="true" ht="16.5" hidden="false" customHeight="false" outlineLevel="0" collapsed="false">
      <c r="B98" s="1"/>
      <c r="C98" s="1"/>
      <c r="D98" s="1"/>
      <c r="E98" s="1"/>
      <c r="F98" s="1"/>
      <c r="H98" s="177"/>
      <c r="I98" s="177"/>
      <c r="J98" s="177"/>
      <c r="K98" s="177"/>
      <c r="L98" s="177"/>
      <c r="M98" s="177"/>
      <c r="N98" s="178"/>
    </row>
    <row r="99" customFormat="false" ht="16.5" hidden="false" customHeight="true" outlineLevel="0" collapsed="false">
      <c r="L99" s="177"/>
      <c r="M99" s="177"/>
    </row>
    <row r="100" customFormat="false" ht="16.5" hidden="false" customHeight="true" outlineLevel="0" collapsed="false">
      <c r="L100" s="177"/>
      <c r="M100" s="177"/>
    </row>
    <row r="101" customFormat="false" ht="16.5" hidden="false" customHeight="false" outlineLevel="0" collapsed="false">
      <c r="L101" s="177"/>
      <c r="M101" s="177"/>
    </row>
    <row r="102" customFormat="false" ht="16.5" hidden="false" customHeight="false" outlineLevel="0" collapsed="false">
      <c r="L102" s="177"/>
      <c r="M102" s="177"/>
    </row>
    <row r="103" customFormat="false" ht="16.5" hidden="false" customHeight="false" outlineLevel="0" collapsed="false">
      <c r="L103" s="177"/>
      <c r="M103" s="177"/>
    </row>
    <row r="104" customFormat="false" ht="16.5" hidden="false" customHeight="false" outlineLevel="0" collapsed="false">
      <c r="L104" s="177"/>
      <c r="M104" s="177"/>
    </row>
    <row r="105" customFormat="false" ht="16.5" hidden="false" customHeight="false" outlineLevel="0" collapsed="false">
      <c r="L105" s="177"/>
      <c r="M105" s="177"/>
    </row>
    <row r="106" customFormat="false" ht="16.5" hidden="false" customHeight="false" outlineLevel="0" collapsed="false">
      <c r="L106" s="177"/>
      <c r="M106" s="177"/>
    </row>
    <row r="107" customFormat="false" ht="16.5" hidden="false" customHeight="false" outlineLevel="0" collapsed="false">
      <c r="L107" s="177"/>
      <c r="M107" s="177"/>
      <c r="N107" s="177"/>
    </row>
    <row r="108" customFormat="false" ht="16.5" hidden="false" customHeight="false" outlineLevel="0" collapsed="false">
      <c r="L108" s="177"/>
      <c r="M108" s="177"/>
      <c r="N108" s="177"/>
    </row>
    <row r="109" customFormat="false" ht="16.5" hidden="false" customHeight="false" outlineLevel="0" collapsed="false">
      <c r="L109" s="177"/>
      <c r="M109" s="177"/>
      <c r="N109" s="177"/>
    </row>
    <row r="110" customFormat="false" ht="16.5" hidden="false" customHeight="false" outlineLevel="0" collapsed="false">
      <c r="L110" s="177"/>
      <c r="M110" s="177"/>
      <c r="N110" s="177"/>
    </row>
    <row r="111" customFormat="false" ht="16.5" hidden="false" customHeight="false" outlineLevel="0" collapsed="false">
      <c r="L111" s="177"/>
      <c r="M111" s="177"/>
      <c r="N111" s="177"/>
    </row>
    <row r="112" customFormat="false" ht="16.5" hidden="false" customHeight="false" outlineLevel="0" collapsed="false">
      <c r="L112" s="177"/>
      <c r="M112" s="177"/>
      <c r="N112" s="177"/>
    </row>
    <row r="113" customFormat="false" ht="16.5" hidden="false" customHeight="false" outlineLevel="0" collapsed="false">
      <c r="L113" s="177"/>
      <c r="M113" s="177"/>
      <c r="N113" s="177"/>
    </row>
    <row r="114" customFormat="false" ht="16.5" hidden="false" customHeight="false" outlineLevel="0" collapsed="false">
      <c r="H114" s="184"/>
      <c r="I114" s="184"/>
      <c r="J114" s="184"/>
      <c r="K114" s="184"/>
      <c r="L114" s="184"/>
      <c r="M114" s="184"/>
      <c r="N114" s="184"/>
    </row>
    <row r="115" customFormat="false" ht="16.5" hidden="false" customHeight="false" outlineLevel="0" collapsed="false">
      <c r="H115" s="184"/>
      <c r="I115" s="184"/>
      <c r="J115" s="184"/>
      <c r="K115" s="184"/>
      <c r="L115" s="184"/>
      <c r="M115" s="184"/>
      <c r="N115" s="184"/>
    </row>
    <row r="116" customFormat="false" ht="16.5" hidden="false" customHeight="false" outlineLevel="0" collapsed="false">
      <c r="H116" s="184"/>
      <c r="I116" s="184"/>
      <c r="J116" s="184"/>
      <c r="K116" s="184"/>
      <c r="L116" s="184"/>
      <c r="M116" s="184"/>
      <c r="N116" s="184"/>
    </row>
    <row r="117" customFormat="false" ht="16.5" hidden="false" customHeight="false" outlineLevel="0" collapsed="false">
      <c r="H117" s="184"/>
      <c r="I117" s="184"/>
      <c r="J117" s="184"/>
      <c r="K117" s="184"/>
      <c r="L117" s="184"/>
      <c r="M117" s="184"/>
      <c r="N117" s="184"/>
    </row>
    <row r="118" customFormat="false" ht="16.5" hidden="false" customHeight="false" outlineLevel="0" collapsed="false">
      <c r="H118" s="184"/>
      <c r="I118" s="184"/>
      <c r="J118" s="184"/>
      <c r="K118" s="184"/>
      <c r="L118" s="184"/>
      <c r="M118" s="184"/>
      <c r="N118" s="184"/>
    </row>
    <row r="119" customFormat="false" ht="16.5" hidden="false" customHeight="false" outlineLevel="0" collapsed="false">
      <c r="H119" s="185"/>
      <c r="I119" s="185"/>
      <c r="J119" s="185"/>
      <c r="K119" s="185"/>
      <c r="L119" s="185"/>
      <c r="M119" s="185"/>
      <c r="N119" s="185"/>
    </row>
    <row r="120" customFormat="false" ht="16.5" hidden="false" customHeight="false" outlineLevel="0" collapsed="false">
      <c r="H120" s="184"/>
      <c r="I120" s="184"/>
      <c r="J120" s="184"/>
      <c r="K120" s="184"/>
      <c r="L120" s="184"/>
      <c r="M120" s="184"/>
      <c r="N120" s="184"/>
    </row>
    <row r="121" customFormat="false" ht="16.5" hidden="false" customHeight="false" outlineLevel="0" collapsed="false">
      <c r="H121" s="127"/>
      <c r="I121" s="127"/>
      <c r="J121" s="127"/>
      <c r="K121" s="127"/>
      <c r="L121" s="127"/>
      <c r="M121" s="127"/>
      <c r="N121" s="127"/>
    </row>
    <row r="122" customFormat="false" ht="16.5" hidden="false" customHeight="false" outlineLevel="0" collapsed="false">
      <c r="H122" s="127"/>
      <c r="I122" s="127"/>
      <c r="J122" s="127"/>
      <c r="K122" s="127"/>
      <c r="L122" s="127"/>
      <c r="M122" s="127"/>
      <c r="N122" s="127"/>
    </row>
    <row r="123" customFormat="false" ht="16.5" hidden="false" customHeight="false" outlineLevel="0" collapsed="false">
      <c r="H123" s="127"/>
      <c r="I123" s="127"/>
      <c r="J123" s="127"/>
      <c r="K123" s="127"/>
      <c r="L123" s="127"/>
      <c r="M123" s="127"/>
      <c r="N123" s="127"/>
    </row>
    <row r="124" customFormat="false" ht="16.5" hidden="false" customHeight="false" outlineLevel="0" collapsed="false">
      <c r="H124" s="127"/>
      <c r="I124" s="127"/>
      <c r="J124" s="127"/>
      <c r="K124" s="127"/>
      <c r="L124" s="127"/>
      <c r="M124" s="127"/>
      <c r="N124" s="127"/>
    </row>
    <row r="125" customFormat="false" ht="16.5" hidden="false" customHeight="false" outlineLevel="0" collapsed="false">
      <c r="H125" s="127"/>
      <c r="I125" s="127"/>
      <c r="J125" s="127"/>
      <c r="K125" s="127"/>
      <c r="L125" s="127"/>
      <c r="M125" s="127"/>
      <c r="N125" s="127"/>
    </row>
    <row r="126" customFormat="false" ht="16.5" hidden="false" customHeight="false" outlineLevel="0" collapsed="false">
      <c r="L126" s="177"/>
      <c r="M126" s="177"/>
      <c r="N126" s="177"/>
    </row>
    <row r="127" customFormat="false" ht="16.5" hidden="false" customHeight="false" outlineLevel="0" collapsed="false">
      <c r="L127" s="177"/>
      <c r="M127" s="177"/>
      <c r="N127" s="177"/>
    </row>
    <row r="128" customFormat="false" ht="16.5" hidden="false" customHeight="false" outlineLevel="0" collapsed="false">
      <c r="L128" s="177"/>
      <c r="M128" s="177"/>
      <c r="N128" s="177"/>
    </row>
    <row r="129" customFormat="false" ht="16.5" hidden="false" customHeight="false" outlineLevel="0" collapsed="false">
      <c r="L129" s="177"/>
      <c r="M129" s="177"/>
      <c r="N129" s="177"/>
    </row>
    <row r="130" customFormat="false" ht="16.5" hidden="false" customHeight="false" outlineLevel="0" collapsed="false">
      <c r="L130" s="177"/>
      <c r="M130" s="177"/>
      <c r="N130" s="177"/>
    </row>
    <row r="131" customFormat="false" ht="16.5" hidden="false" customHeight="false" outlineLevel="0" collapsed="false">
      <c r="L131" s="177"/>
      <c r="M131" s="177"/>
      <c r="N131" s="177"/>
    </row>
    <row r="132" customFormat="false" ht="16.5" hidden="false" customHeight="false" outlineLevel="0" collapsed="false">
      <c r="L132" s="177"/>
      <c r="M132" s="177"/>
      <c r="N132" s="177"/>
    </row>
    <row r="142" customFormat="false" ht="16.5" hidden="false" customHeight="false" outlineLevel="0" collapsed="false">
      <c r="H142" s="178"/>
      <c r="I142" s="178"/>
      <c r="J142" s="178"/>
      <c r="K142" s="178"/>
    </row>
    <row r="143" customFormat="false" ht="16.5" hidden="false" customHeight="false" outlineLevel="0" collapsed="false">
      <c r="H143" s="178"/>
      <c r="I143" s="178"/>
      <c r="J143" s="178"/>
      <c r="K143" s="178"/>
    </row>
    <row r="144" customFormat="false" ht="16.5" hidden="false" customHeight="false" outlineLevel="0" collapsed="false">
      <c r="H144" s="178"/>
      <c r="I144" s="178"/>
      <c r="J144" s="178"/>
      <c r="K144" s="178"/>
    </row>
    <row r="145" customFormat="false" ht="16.5" hidden="false" customHeight="false" outlineLevel="0" collapsed="false">
      <c r="H145" s="178"/>
      <c r="I145" s="178"/>
      <c r="J145" s="178"/>
      <c r="K145" s="178"/>
    </row>
    <row r="146" customFormat="false" ht="16.5" hidden="false" customHeight="false" outlineLevel="0" collapsed="false">
      <c r="H146" s="178"/>
      <c r="I146" s="178"/>
      <c r="J146" s="178"/>
      <c r="K146" s="178"/>
    </row>
    <row r="147" customFormat="false" ht="16.5" hidden="false" customHeight="false" outlineLevel="0" collapsed="false">
      <c r="H147" s="178"/>
      <c r="I147" s="178"/>
      <c r="J147" s="178"/>
      <c r="K147" s="178"/>
    </row>
    <row r="148" customFormat="false" ht="16.5" hidden="false" customHeight="false" outlineLevel="0" collapsed="false">
      <c r="H148" s="178"/>
      <c r="I148" s="178"/>
      <c r="J148" s="178"/>
      <c r="K148" s="178"/>
    </row>
    <row r="149" customFormat="false" ht="16.5" hidden="false" customHeight="false" outlineLevel="0" collapsed="false">
      <c r="H149" s="178"/>
      <c r="I149" s="178"/>
      <c r="J149" s="178"/>
      <c r="K149" s="178"/>
    </row>
    <row r="150" customFormat="false" ht="16.5" hidden="false" customHeight="false" outlineLevel="0" collapsed="false">
      <c r="H150" s="178"/>
      <c r="I150" s="178"/>
      <c r="J150" s="178"/>
      <c r="K150" s="178"/>
    </row>
    <row r="151" customFormat="false" ht="16.5" hidden="false" customHeight="false" outlineLevel="0" collapsed="false">
      <c r="H151" s="178"/>
      <c r="I151" s="178"/>
      <c r="J151" s="178"/>
      <c r="K151" s="178"/>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8">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4:D54"/>
    <mergeCell ref="C55:D55"/>
    <mergeCell ref="C56:D56"/>
    <mergeCell ref="C57:D57"/>
    <mergeCell ref="B58:E58"/>
    <mergeCell ref="C61:D61"/>
    <mergeCell ref="C62:D62"/>
    <mergeCell ref="C63:D63"/>
    <mergeCell ref="C64:D64"/>
    <mergeCell ref="C65:D65"/>
    <mergeCell ref="C66:D66"/>
    <mergeCell ref="C67:D67"/>
    <mergeCell ref="B68:E68"/>
    <mergeCell ref="C70:E70"/>
    <mergeCell ref="C71:E71"/>
    <mergeCell ref="B72:E72"/>
    <mergeCell ref="C74:E74"/>
    <mergeCell ref="C75:E75"/>
    <mergeCell ref="C76:E76"/>
    <mergeCell ref="C77:E77"/>
    <mergeCell ref="C78:E78"/>
    <mergeCell ref="B79:E79"/>
    <mergeCell ref="B80:F80"/>
    <mergeCell ref="C81:D81"/>
    <mergeCell ref="C82:D82"/>
    <mergeCell ref="C83:D83"/>
    <mergeCell ref="C84:D84"/>
    <mergeCell ref="C85:D85"/>
    <mergeCell ref="C86:D86"/>
    <mergeCell ref="C87:D87"/>
    <mergeCell ref="B88:E88"/>
    <mergeCell ref="C90:E90"/>
    <mergeCell ref="C91:E91"/>
    <mergeCell ref="C92:E92"/>
    <mergeCell ref="C93:E93"/>
    <mergeCell ref="C94:E94"/>
    <mergeCell ref="C95:E95"/>
    <mergeCell ref="C96:E96"/>
    <mergeCell ref="B97:E97"/>
  </mergeCells>
  <printOptions headings="false" gridLines="false" gridLinesSet="true" horizontalCentered="true" verticalCentered="false"/>
  <pageMargins left="0.0798611111111111" right="0.05" top="0.196527777777778" bottom="0.157638888888889" header="0.511805555555555" footer="0.511805555555555"/>
  <pageSetup paperSize="9" scale="8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J72"/>
  <sheetViews>
    <sheetView showFormulas="false" showGridLines="true" showRowColHeaders="true" showZeros="true" rightToLeft="false" tabSelected="false" showOutlineSymbols="true" defaultGridColor="true" view="normal" topLeftCell="C34" colorId="64" zoomScale="80" zoomScaleNormal="80" zoomScalePageLayoutView="100" workbookViewId="0">
      <selection pane="topLeft" activeCell="I61" activeCellId="0" sqref="I61"/>
    </sheetView>
  </sheetViews>
  <sheetFormatPr defaultRowHeight="16.5" zeroHeight="false" outlineLevelRow="0" outlineLevelCol="0"/>
  <cols>
    <col collapsed="false" customWidth="true" hidden="false" outlineLevel="0" max="1" min="1" style="182" width="1.12"/>
    <col collapsed="false" customWidth="true" hidden="false" outlineLevel="0" max="2" min="2" style="177" width="20.71"/>
    <col collapsed="false" customWidth="true" hidden="false" outlineLevel="0" max="3" min="3" style="127" width="20.42"/>
    <col collapsed="false" customWidth="true" hidden="false" outlineLevel="0" max="4" min="4" style="177" width="18.58"/>
    <col collapsed="false" customWidth="true" hidden="false" outlineLevel="0" max="5" min="5" style="177" width="17.4"/>
    <col collapsed="false" customWidth="true" hidden="false" outlineLevel="0" max="6" min="6" style="177" width="16.41"/>
    <col collapsed="false" customWidth="true" hidden="false" outlineLevel="0" max="7" min="7" style="178" width="17.71"/>
    <col collapsed="false" customWidth="true" hidden="false" outlineLevel="0" max="8" min="8" style="178" width="18.85"/>
    <col collapsed="false" customWidth="true" hidden="false" outlineLevel="0" max="9" min="9" style="178" width="17.29"/>
    <col collapsed="false" customWidth="true" hidden="false" outlineLevel="0" max="10" min="10" style="182" width="20.3"/>
    <col collapsed="false" customWidth="true" hidden="false" outlineLevel="0" max="257" min="11" style="182" width="9.13"/>
    <col collapsed="false" customWidth="true" hidden="false" outlineLevel="0" max="258" min="258" style="182" width="1.12"/>
    <col collapsed="false" customWidth="true" hidden="false" outlineLevel="0" max="259" min="259" style="182" width="20.71"/>
    <col collapsed="false" customWidth="true" hidden="false" outlineLevel="0" max="260" min="260" style="182" width="23.42"/>
    <col collapsed="false" customWidth="true" hidden="false" outlineLevel="0" max="261" min="261" style="182" width="20.57"/>
    <col collapsed="false" customWidth="true" hidden="false" outlineLevel="0" max="262" min="262" style="182" width="19.99"/>
    <col collapsed="false" customWidth="true" hidden="false" outlineLevel="0" max="263" min="263" style="182" width="23.15"/>
    <col collapsed="false" customWidth="true" hidden="false" outlineLevel="0" max="264" min="264" style="182" width="13.57"/>
    <col collapsed="false" customWidth="true" hidden="false" outlineLevel="0" max="265" min="265" style="182" width="17.29"/>
    <col collapsed="false" customWidth="true" hidden="false" outlineLevel="0" max="513" min="266" style="182" width="9.13"/>
    <col collapsed="false" customWidth="true" hidden="false" outlineLevel="0" max="514" min="514" style="182" width="1.12"/>
    <col collapsed="false" customWidth="true" hidden="false" outlineLevel="0" max="515" min="515" style="182" width="20.71"/>
    <col collapsed="false" customWidth="true" hidden="false" outlineLevel="0" max="516" min="516" style="182" width="23.42"/>
    <col collapsed="false" customWidth="true" hidden="false" outlineLevel="0" max="517" min="517" style="182" width="20.57"/>
    <col collapsed="false" customWidth="true" hidden="false" outlineLevel="0" max="518" min="518" style="182" width="19.99"/>
    <col collapsed="false" customWidth="true" hidden="false" outlineLevel="0" max="519" min="519" style="182" width="23.15"/>
    <col collapsed="false" customWidth="true" hidden="false" outlineLevel="0" max="520" min="520" style="182" width="13.57"/>
    <col collapsed="false" customWidth="true" hidden="false" outlineLevel="0" max="521" min="521" style="182" width="17.29"/>
    <col collapsed="false" customWidth="true" hidden="false" outlineLevel="0" max="769" min="522" style="182" width="9.13"/>
    <col collapsed="false" customWidth="true" hidden="false" outlineLevel="0" max="770" min="770" style="182" width="1.12"/>
    <col collapsed="false" customWidth="true" hidden="false" outlineLevel="0" max="771" min="771" style="182" width="20.71"/>
    <col collapsed="false" customWidth="true" hidden="false" outlineLevel="0" max="772" min="772" style="182" width="23.42"/>
    <col collapsed="false" customWidth="true" hidden="false" outlineLevel="0" max="773" min="773" style="182" width="20.57"/>
    <col collapsed="false" customWidth="true" hidden="false" outlineLevel="0" max="774" min="774" style="182" width="19.99"/>
    <col collapsed="false" customWidth="true" hidden="false" outlineLevel="0" max="775" min="775" style="182" width="23.15"/>
    <col collapsed="false" customWidth="true" hidden="false" outlineLevel="0" max="776" min="776" style="182" width="13.57"/>
    <col collapsed="false" customWidth="true" hidden="false" outlineLevel="0" max="777" min="777" style="182" width="17.29"/>
    <col collapsed="false" customWidth="true" hidden="false" outlineLevel="0" max="1025" min="778" style="182" width="9.13"/>
  </cols>
  <sheetData>
    <row r="1" s="186" customFormat="true" ht="20.25" hidden="false" customHeight="false" outlineLevel="0" collapsed="false">
      <c r="B1" s="187" t="str">
        <f aca="false">RAMO</f>
        <v>RAMO: MINISTÉRIO PÚBLICO FEDERAL</v>
      </c>
      <c r="C1" s="187"/>
      <c r="D1" s="187"/>
      <c r="E1" s="187"/>
      <c r="F1" s="187"/>
      <c r="G1" s="187"/>
      <c r="H1" s="187"/>
      <c r="I1" s="187"/>
    </row>
    <row r="2" s="186" customFormat="true" ht="20.25" hidden="false" customHeight="false" outlineLevel="0" collapsed="false">
      <c r="B2" s="188" t="str">
        <f aca="false">UG</f>
        <v>UNIDADE GESTORA (SIGLA): PRMS</v>
      </c>
      <c r="C2" s="188"/>
      <c r="D2" s="188"/>
      <c r="E2" s="188"/>
      <c r="F2" s="188"/>
      <c r="G2" s="188"/>
      <c r="H2" s="130" t="s">
        <v>2</v>
      </c>
      <c r="I2" s="131" t="n">
        <f aca="false">IF(DATA_DO_ORCAMENTO_ESTIMATIVO="","",DATA_DO_ORCAMENTO_ESTIMATIVO)</f>
        <v>44915</v>
      </c>
    </row>
    <row r="3" customFormat="false" ht="9" hidden="false" customHeight="true" outlineLevel="0" collapsed="false"/>
    <row r="4" customFormat="false" ht="20.25" hidden="false" customHeight="false" outlineLevel="0" collapsed="false">
      <c r="B4" s="189" t="s">
        <v>253</v>
      </c>
      <c r="C4" s="189"/>
      <c r="D4" s="189"/>
      <c r="E4" s="189"/>
      <c r="F4" s="189"/>
      <c r="G4" s="189"/>
      <c r="H4" s="189"/>
      <c r="I4" s="189"/>
    </row>
    <row r="5" customFormat="false" ht="15" hidden="false" customHeight="true" outlineLevel="0" collapsed="false">
      <c r="B5" s="190" t="s">
        <v>254</v>
      </c>
      <c r="C5" s="190"/>
      <c r="D5" s="190"/>
      <c r="E5" s="190"/>
      <c r="F5" s="190"/>
      <c r="G5" s="190"/>
      <c r="H5" s="190"/>
      <c r="I5" s="190"/>
    </row>
    <row r="6" s="191" customFormat="true" ht="10.5" hidden="false" customHeight="true" outlineLevel="0" collapsed="false">
      <c r="B6" s="192"/>
      <c r="C6" s="193"/>
      <c r="D6" s="192"/>
      <c r="E6" s="192"/>
      <c r="F6" s="192"/>
      <c r="G6" s="192"/>
      <c r="H6" s="192"/>
      <c r="I6" s="192"/>
    </row>
    <row r="7" customFormat="false" ht="15" hidden="false" customHeight="true" outlineLevel="0" collapsed="false">
      <c r="B7" s="190" t="s">
        <v>255</v>
      </c>
      <c r="C7" s="190"/>
      <c r="D7" s="190"/>
      <c r="E7" s="190"/>
      <c r="F7" s="190"/>
      <c r="G7" s="190"/>
      <c r="H7" s="190"/>
      <c r="I7" s="190"/>
    </row>
    <row r="8" customFormat="false" ht="14.25" hidden="false" customHeight="true" outlineLevel="0" collapsed="false">
      <c r="B8" s="194" t="s">
        <v>256</v>
      </c>
      <c r="C8" s="194"/>
      <c r="D8" s="194"/>
      <c r="E8" s="194"/>
      <c r="F8" s="194"/>
      <c r="G8" s="194"/>
      <c r="H8" s="194"/>
      <c r="I8" s="194"/>
    </row>
    <row r="9" customFormat="false" ht="15.75" hidden="false" customHeight="true" outlineLevel="0" collapsed="false">
      <c r="B9" s="194"/>
      <c r="C9" s="194"/>
      <c r="D9" s="194"/>
      <c r="E9" s="194"/>
      <c r="F9" s="194"/>
      <c r="G9" s="194"/>
      <c r="H9" s="194"/>
      <c r="I9" s="194"/>
    </row>
    <row r="10" customFormat="false" ht="27" hidden="false" customHeight="true" outlineLevel="0" collapsed="false">
      <c r="A10" s="195"/>
      <c r="B10" s="21" t="s">
        <v>257</v>
      </c>
      <c r="C10" s="49" t="s">
        <v>258</v>
      </c>
      <c r="D10" s="49" t="s">
        <v>259</v>
      </c>
      <c r="E10" s="49" t="s">
        <v>260</v>
      </c>
      <c r="F10" s="49" t="s">
        <v>261</v>
      </c>
      <c r="G10" s="196"/>
      <c r="I10" s="182"/>
    </row>
    <row r="11" customFormat="false" ht="27" hidden="false" customHeight="true" outlineLevel="0" collapsed="false">
      <c r="A11" s="195"/>
      <c r="B11" s="21"/>
      <c r="C11" s="49"/>
      <c r="D11" s="49"/>
      <c r="E11" s="49"/>
      <c r="F11" s="49"/>
      <c r="G11" s="197"/>
      <c r="H11" s="177"/>
      <c r="I11" s="177"/>
    </row>
    <row r="12" customFormat="false" ht="16.5" hidden="false" customHeight="false" outlineLevel="0" collapsed="false">
      <c r="A12" s="195"/>
      <c r="B12" s="97" t="s">
        <v>262</v>
      </c>
      <c r="C12" s="101" t="s">
        <v>263</v>
      </c>
      <c r="D12" s="198" t="n">
        <f aca="false">1/('INSERÇÃO-DE-DADOS_PRODUTIVIDADE'!H9*'INSERÇÃO-DE-DADOS_PRODUTIVIDADE'!L17)</f>
        <v>0.000208333333333333</v>
      </c>
      <c r="E12" s="199" t="n">
        <f aca="false">ENCARREGADO!VALOR_TOTAL_ENC</f>
        <v>3473.57356840807</v>
      </c>
      <c r="F12" s="200" t="n">
        <f aca="false">D12*E12</f>
        <v>0.723661160085013</v>
      </c>
      <c r="G12" s="197"/>
      <c r="H12" s="177"/>
      <c r="I12" s="177"/>
    </row>
    <row r="13" customFormat="false" ht="16.5" hidden="false" customHeight="false" outlineLevel="0" collapsed="false">
      <c r="A13" s="195"/>
      <c r="B13" s="97" t="s">
        <v>264</v>
      </c>
      <c r="C13" s="101" t="s">
        <v>263</v>
      </c>
      <c r="D13" s="198" t="n">
        <f aca="false">1/'INSERÇÃO-DE-DADOS_PRODUTIVIDADE'!H9</f>
        <v>0.00125</v>
      </c>
      <c r="E13" s="199" t="n">
        <f aca="false">'SERVENTE CG'!F97</f>
        <v>4333.02164169713</v>
      </c>
      <c r="F13" s="200" t="n">
        <f aca="false">D13*E13</f>
        <v>5.41627705212142</v>
      </c>
      <c r="G13" s="197"/>
      <c r="H13" s="177"/>
      <c r="I13" s="177"/>
    </row>
    <row r="14" customFormat="false" ht="16.5" hidden="false" customHeight="false" outlineLevel="0" collapsed="false">
      <c r="A14" s="195"/>
      <c r="B14" s="201" t="s">
        <v>265</v>
      </c>
      <c r="C14" s="201"/>
      <c r="D14" s="201"/>
      <c r="E14" s="201"/>
      <c r="F14" s="202" t="n">
        <f aca="false">SUM(F12:F13)</f>
        <v>6.13993821220643</v>
      </c>
      <c r="G14" s="197"/>
      <c r="H14" s="177"/>
      <c r="I14" s="177"/>
    </row>
    <row r="15" customFormat="false" ht="16.5" hidden="false" customHeight="false" outlineLevel="0" collapsed="false">
      <c r="A15" s="195"/>
      <c r="B15" s="97" t="s">
        <v>262</v>
      </c>
      <c r="C15" s="101" t="s">
        <v>266</v>
      </c>
      <c r="D15" s="198" t="n">
        <f aca="false">1/('INSERÇÃO-DE-DADOS_PRODUTIVIDADE'!H10*'INSERÇÃO-DE-DADOS_PRODUTIVIDADE'!L17)</f>
        <v>0.000111111111111111</v>
      </c>
      <c r="E15" s="199" t="n">
        <f aca="false">ENCARREGADO!F96</f>
        <v>3473.57356840807</v>
      </c>
      <c r="F15" s="200" t="n">
        <f aca="false">D15*E15</f>
        <v>0.385952618712007</v>
      </c>
      <c r="G15" s="197"/>
      <c r="H15" s="177"/>
      <c r="I15" s="177"/>
    </row>
    <row r="16" customFormat="false" ht="16.5" hidden="false" customHeight="false" outlineLevel="0" collapsed="false">
      <c r="A16" s="195"/>
      <c r="B16" s="97" t="s">
        <v>264</v>
      </c>
      <c r="C16" s="101" t="s">
        <v>266</v>
      </c>
      <c r="D16" s="198" t="n">
        <f aca="false">1/('INSERÇÃO-DE-DADOS_PRODUTIVIDADE'!H10)</f>
        <v>0.000666666666666667</v>
      </c>
      <c r="E16" s="199" t="n">
        <f aca="false">'SERVENTE CG'!F97</f>
        <v>4333.02164169713</v>
      </c>
      <c r="F16" s="200" t="n">
        <f aca="false">D16*E16</f>
        <v>2.88868109446476</v>
      </c>
      <c r="G16" s="197"/>
      <c r="H16" s="177"/>
      <c r="I16" s="177"/>
    </row>
    <row r="17" customFormat="false" ht="16.5" hidden="false" customHeight="false" outlineLevel="0" collapsed="false">
      <c r="A17" s="195"/>
      <c r="B17" s="201" t="s">
        <v>267</v>
      </c>
      <c r="C17" s="201"/>
      <c r="D17" s="201"/>
      <c r="E17" s="201"/>
      <c r="F17" s="202" t="n">
        <f aca="false">SUM(F15:F16)</f>
        <v>3.27463371317676</v>
      </c>
      <c r="G17" s="197"/>
      <c r="H17" s="177"/>
      <c r="I17" s="177"/>
    </row>
    <row r="18" customFormat="false" ht="16.5" hidden="false" customHeight="false" outlineLevel="0" collapsed="false">
      <c r="A18" s="195"/>
      <c r="B18" s="97" t="s">
        <v>262</v>
      </c>
      <c r="C18" s="101" t="s">
        <v>268</v>
      </c>
      <c r="D18" s="198" t="n">
        <f aca="false">1/('INSERÇÃO-DE-DADOS_PRODUTIVIDADE'!H11*'INSERÇÃO-DE-DADOS_PRODUTIVIDADE'!L17)</f>
        <v>0.000833333333333333</v>
      </c>
      <c r="E18" s="199" t="n">
        <f aca="false">ENCARREGADO!F96</f>
        <v>3473.57356840807</v>
      </c>
      <c r="F18" s="200" t="n">
        <f aca="false">D18*E18</f>
        <v>2.89464464034005</v>
      </c>
      <c r="G18" s="197"/>
      <c r="H18" s="177"/>
      <c r="I18" s="177"/>
    </row>
    <row r="19" customFormat="false" ht="16.5" hidden="false" customHeight="false" outlineLevel="0" collapsed="false">
      <c r="A19" s="195"/>
      <c r="B19" s="97" t="s">
        <v>264</v>
      </c>
      <c r="C19" s="101" t="s">
        <v>268</v>
      </c>
      <c r="D19" s="198" t="n">
        <f aca="false">1/'INSERÇÃO-DE-DADOS_PRODUTIVIDADE'!H11</f>
        <v>0.005</v>
      </c>
      <c r="E19" s="199" t="n">
        <f aca="false">VALOR_TOTAL_SERV</f>
        <v>4333.02164169713</v>
      </c>
      <c r="F19" s="200" t="n">
        <f aca="false">D19*E19</f>
        <v>21.6651082084857</v>
      </c>
      <c r="G19" s="197"/>
      <c r="H19" s="177"/>
      <c r="I19" s="177"/>
    </row>
    <row r="20" customFormat="false" ht="16.5" hidden="false" customHeight="false" outlineLevel="0" collapsed="false">
      <c r="A20" s="195"/>
      <c r="B20" s="201" t="s">
        <v>269</v>
      </c>
      <c r="C20" s="201"/>
      <c r="D20" s="201"/>
      <c r="E20" s="201"/>
      <c r="F20" s="202" t="n">
        <f aca="false">SUM(F18:F19)</f>
        <v>24.5597528488257</v>
      </c>
      <c r="G20" s="197"/>
      <c r="H20" s="177"/>
      <c r="I20" s="177"/>
    </row>
    <row r="21" customFormat="false" ht="3.75" hidden="false" customHeight="true" outlineLevel="0" collapsed="false">
      <c r="B21" s="197"/>
      <c r="C21" s="203"/>
      <c r="D21" s="204"/>
      <c r="E21" s="204"/>
      <c r="F21" s="204"/>
      <c r="G21" s="205"/>
      <c r="H21" s="177"/>
      <c r="I21" s="177"/>
    </row>
    <row r="22" s="206" customFormat="true" ht="15.75" hidden="false" customHeight="true" outlineLevel="0" collapsed="false">
      <c r="B22" s="194" t="s">
        <v>270</v>
      </c>
      <c r="C22" s="194"/>
      <c r="D22" s="194"/>
      <c r="E22" s="194"/>
      <c r="F22" s="194"/>
      <c r="G22" s="194"/>
      <c r="H22" s="194"/>
      <c r="I22" s="194"/>
    </row>
    <row r="23" s="206" customFormat="true" ht="14.25" hidden="false" customHeight="false" outlineLevel="0" collapsed="false">
      <c r="B23" s="194"/>
      <c r="C23" s="194"/>
      <c r="D23" s="194"/>
      <c r="E23" s="194"/>
      <c r="F23" s="194"/>
      <c r="G23" s="194"/>
      <c r="H23" s="194"/>
      <c r="I23" s="194"/>
    </row>
    <row r="24" customFormat="false" ht="12.75" hidden="false" customHeight="true" outlineLevel="0" collapsed="false">
      <c r="A24" s="195"/>
      <c r="B24" s="21" t="s">
        <v>257</v>
      </c>
      <c r="C24" s="49" t="s">
        <v>258</v>
      </c>
      <c r="D24" s="49" t="s">
        <v>259</v>
      </c>
      <c r="E24" s="49" t="s">
        <v>260</v>
      </c>
      <c r="F24" s="49" t="s">
        <v>261</v>
      </c>
      <c r="G24" s="197"/>
    </row>
    <row r="25" customFormat="false" ht="31.5" hidden="false" customHeight="true" outlineLevel="0" collapsed="false">
      <c r="A25" s="195"/>
      <c r="B25" s="21"/>
      <c r="C25" s="49"/>
      <c r="D25" s="49"/>
      <c r="E25" s="49"/>
      <c r="F25" s="49"/>
      <c r="G25" s="197"/>
      <c r="H25" s="177"/>
    </row>
    <row r="26" customFormat="false" ht="16.5" hidden="false" customHeight="false" outlineLevel="0" collapsed="false">
      <c r="A26" s="195"/>
      <c r="B26" s="97" t="s">
        <v>262</v>
      </c>
      <c r="C26" s="101" t="s">
        <v>271</v>
      </c>
      <c r="D26" s="198" t="n">
        <f aca="false">1/('INSERÇÃO-DE-DADOS_PRODUTIVIDADE'!H12*'INSERÇÃO-DE-DADOS_PRODUTIVIDADE'!L17)</f>
        <v>9.25925925925926E-005</v>
      </c>
      <c r="E26" s="199" t="n">
        <f aca="false">ENCARREGADO!VALOR_TOTAL_ENC</f>
        <v>3473.57356840807</v>
      </c>
      <c r="F26" s="200" t="n">
        <f aca="false">D26*E26</f>
        <v>0.321627182260006</v>
      </c>
      <c r="G26" s="207"/>
      <c r="H26" s="177"/>
    </row>
    <row r="27" customFormat="false" ht="16.5" hidden="false" customHeight="false" outlineLevel="0" collapsed="false">
      <c r="A27" s="195"/>
      <c r="B27" s="97" t="s">
        <v>264</v>
      </c>
      <c r="C27" s="101" t="s">
        <v>271</v>
      </c>
      <c r="D27" s="198" t="n">
        <f aca="false">1/'INSERÇÃO-DE-DADOS_PRODUTIVIDADE'!H12</f>
        <v>0.000555555555555556</v>
      </c>
      <c r="E27" s="199" t="n">
        <f aca="false">VALOR_TOTAL_SERV</f>
        <v>4333.02164169713</v>
      </c>
      <c r="F27" s="200" t="n">
        <f aca="false">D27*E27</f>
        <v>2.4072342453873</v>
      </c>
      <c r="G27" s="197"/>
      <c r="H27" s="177"/>
    </row>
    <row r="28" customFormat="false" ht="16.5" hidden="false" customHeight="false" outlineLevel="0" collapsed="false">
      <c r="A28" s="195"/>
      <c r="B28" s="201" t="s">
        <v>272</v>
      </c>
      <c r="C28" s="201"/>
      <c r="D28" s="201"/>
      <c r="E28" s="201"/>
      <c r="F28" s="202" t="n">
        <f aca="false">SUM(F26:F27)</f>
        <v>2.7288614276473</v>
      </c>
      <c r="G28" s="197"/>
      <c r="H28" s="177"/>
    </row>
    <row r="29" customFormat="false" ht="49.5" hidden="false" customHeight="false" outlineLevel="0" collapsed="false">
      <c r="A29" s="195"/>
      <c r="B29" s="97" t="s">
        <v>262</v>
      </c>
      <c r="C29" s="101" t="s">
        <v>273</v>
      </c>
      <c r="D29" s="198" t="n">
        <f aca="false">1/('INSERÇÃO-DE-DADOS_PRODUTIVIDADE'!H13*'INSERÇÃO-DE-DADOS_PRODUTIVIDADE'!L17)</f>
        <v>2.77777777777778E-005</v>
      </c>
      <c r="E29" s="199" t="n">
        <f aca="false">ENCARREGADO!VALOR_TOTAL_ENC</f>
        <v>3473.57356840807</v>
      </c>
      <c r="F29" s="200" t="n">
        <f aca="false">D29*E29</f>
        <v>0.0964881546780019</v>
      </c>
      <c r="G29" s="197"/>
      <c r="H29" s="177"/>
    </row>
    <row r="30" customFormat="false" ht="49.5" hidden="false" customHeight="false" outlineLevel="0" collapsed="false">
      <c r="A30" s="195"/>
      <c r="B30" s="97" t="s">
        <v>264</v>
      </c>
      <c r="C30" s="101" t="s">
        <v>273</v>
      </c>
      <c r="D30" s="198" t="n">
        <f aca="false">1/'INSERÇÃO-DE-DADOS_PRODUTIVIDADE'!H13</f>
        <v>0.000166666666666667</v>
      </c>
      <c r="E30" s="199" t="n">
        <f aca="false">VALOR_TOTAL_SERV</f>
        <v>4333.02164169713</v>
      </c>
      <c r="F30" s="200" t="n">
        <f aca="false">D30*E30</f>
        <v>0.722170273616191</v>
      </c>
      <c r="G30" s="197"/>
      <c r="H30" s="177"/>
    </row>
    <row r="31" customFormat="false" ht="16.5" hidden="false" customHeight="false" outlineLevel="0" collapsed="false">
      <c r="A31" s="195"/>
      <c r="B31" s="201" t="s">
        <v>274</v>
      </c>
      <c r="C31" s="201"/>
      <c r="D31" s="201"/>
      <c r="E31" s="201"/>
      <c r="F31" s="202" t="n">
        <f aca="false">SUM(F29:F30)</f>
        <v>0.818658428294192</v>
      </c>
      <c r="G31" s="197"/>
      <c r="H31" s="177"/>
    </row>
    <row r="32" customFormat="false" ht="16.5" hidden="false" customHeight="false" outlineLevel="0" collapsed="false">
      <c r="A32" s="195"/>
      <c r="B32" s="97" t="s">
        <v>262</v>
      </c>
      <c r="C32" s="101" t="s">
        <v>275</v>
      </c>
      <c r="D32" s="198" t="n">
        <f aca="false">1/('INSERÇÃO-DE-DADOS_PRODUTIVIDADE'!H14*'INSERÇÃO-DE-DADOS_PRODUTIVIDADE'!L17)</f>
        <v>9.25925925925926E-005</v>
      </c>
      <c r="E32" s="199" t="n">
        <f aca="false">ENCARREGADO!VALOR_TOTAL_ENC</f>
        <v>3473.57356840807</v>
      </c>
      <c r="F32" s="200" t="n">
        <f aca="false">D32*E32</f>
        <v>0.321627182260006</v>
      </c>
      <c r="G32" s="197"/>
      <c r="H32" s="177"/>
    </row>
    <row r="33" customFormat="false" ht="16.5" hidden="false" customHeight="false" outlineLevel="0" collapsed="false">
      <c r="A33" s="195"/>
      <c r="B33" s="97" t="s">
        <v>264</v>
      </c>
      <c r="C33" s="101" t="s">
        <v>275</v>
      </c>
      <c r="D33" s="198" t="n">
        <f aca="false">1/'INSERÇÃO-DE-DADOS_PRODUTIVIDADE'!H14</f>
        <v>0.000555555555555556</v>
      </c>
      <c r="E33" s="199" t="n">
        <f aca="false">VALOR_TOTAL_SERV</f>
        <v>4333.02164169713</v>
      </c>
      <c r="F33" s="200" t="n">
        <f aca="false">D33*E33</f>
        <v>2.4072342453873</v>
      </c>
      <c r="G33" s="197"/>
      <c r="H33" s="177"/>
    </row>
    <row r="34" customFormat="false" ht="16.5" hidden="false" customHeight="false" outlineLevel="0" collapsed="false">
      <c r="A34" s="195"/>
      <c r="B34" s="201" t="s">
        <v>265</v>
      </c>
      <c r="C34" s="201"/>
      <c r="D34" s="201"/>
      <c r="E34" s="201"/>
      <c r="F34" s="202" t="n">
        <f aca="false">SUM(F32:F33)</f>
        <v>2.7288614276473</v>
      </c>
      <c r="G34" s="197"/>
      <c r="H34" s="177"/>
    </row>
    <row r="35" customFormat="false" ht="3.75" hidden="false" customHeight="true" outlineLevel="0" collapsed="false">
      <c r="B35" s="197"/>
      <c r="C35" s="203"/>
      <c r="D35" s="204"/>
      <c r="E35" s="204"/>
      <c r="F35" s="204"/>
      <c r="G35" s="208"/>
      <c r="H35" s="196"/>
      <c r="I35" s="196"/>
    </row>
    <row r="36" s="206" customFormat="true" ht="12.75" hidden="false" customHeight="true" outlineLevel="0" collapsed="false">
      <c r="B36" s="194" t="s">
        <v>276</v>
      </c>
      <c r="C36" s="194"/>
      <c r="D36" s="194"/>
      <c r="E36" s="194"/>
      <c r="F36" s="194"/>
      <c r="G36" s="194"/>
      <c r="H36" s="194"/>
      <c r="I36" s="194"/>
    </row>
    <row r="37" s="206" customFormat="true" ht="15.75" hidden="false" customHeight="true" outlineLevel="0" collapsed="false">
      <c r="B37" s="194"/>
      <c r="C37" s="194"/>
      <c r="D37" s="194"/>
      <c r="E37" s="194"/>
      <c r="F37" s="194"/>
      <c r="G37" s="194"/>
      <c r="H37" s="194"/>
      <c r="I37" s="194"/>
    </row>
    <row r="38" customFormat="false" ht="12.75" hidden="false" customHeight="true" outlineLevel="0" collapsed="false">
      <c r="A38" s="195"/>
      <c r="B38" s="21" t="s">
        <v>257</v>
      </c>
      <c r="C38" s="49" t="s">
        <v>258</v>
      </c>
      <c r="D38" s="49" t="s">
        <v>259</v>
      </c>
      <c r="E38" s="49" t="s">
        <v>277</v>
      </c>
      <c r="F38" s="49" t="s">
        <v>278</v>
      </c>
      <c r="G38" s="49" t="s">
        <v>279</v>
      </c>
      <c r="H38" s="49" t="s">
        <v>280</v>
      </c>
      <c r="I38" s="49" t="s">
        <v>281</v>
      </c>
    </row>
    <row r="39" customFormat="false" ht="14.25" hidden="false" customHeight="false" outlineLevel="0" collapsed="false">
      <c r="A39" s="195"/>
      <c r="B39" s="21"/>
      <c r="C39" s="49"/>
      <c r="D39" s="49"/>
      <c r="E39" s="49"/>
      <c r="F39" s="49"/>
      <c r="G39" s="49"/>
      <c r="H39" s="49"/>
      <c r="I39" s="49"/>
    </row>
    <row r="40" customFormat="false" ht="36" hidden="false" customHeight="true" outlineLevel="0" collapsed="false">
      <c r="A40" s="195"/>
      <c r="B40" s="21"/>
      <c r="C40" s="49"/>
      <c r="D40" s="49"/>
      <c r="E40" s="49"/>
      <c r="F40" s="49"/>
      <c r="G40" s="49"/>
      <c r="H40" s="49"/>
      <c r="I40" s="49"/>
    </row>
    <row r="41" customFormat="false" ht="16.5" hidden="false" customHeight="false" outlineLevel="0" collapsed="false">
      <c r="A41" s="195"/>
      <c r="B41" s="97" t="s">
        <v>262</v>
      </c>
      <c r="C41" s="101" t="s">
        <v>282</v>
      </c>
      <c r="D41" s="198" t="n">
        <f aca="false">1/('INSERÇÃO-DE-DADOS_PRODUTIVIDADE'!H15*'INSERÇÃO-DE-DADOS_PRODUTIVIDADE'!L17)</f>
        <v>0.000555555555555556</v>
      </c>
      <c r="E41" s="209" t="n">
        <f aca="false">'INSERÇÃO-DE-DADOS_PRODUTIVIDADE'!L15</f>
        <v>16</v>
      </c>
      <c r="F41" s="210" t="n">
        <f aca="false">1/((DIAS_NO_MES/DIAS_NA_SEMANA)*CARGA_HORARIA_SEMANAL)</f>
        <v>0.00583333333333333</v>
      </c>
      <c r="G41" s="210" t="n">
        <f aca="false">D41*E41*F41</f>
        <v>5.18518518518519E-005</v>
      </c>
      <c r="H41" s="199" t="n">
        <f aca="false">ENCARREGADO!VALOR_TOTAL_ENC</f>
        <v>3473.57356840807</v>
      </c>
      <c r="I41" s="199" t="n">
        <f aca="false">G41*H41</f>
        <v>0.180111222065604</v>
      </c>
      <c r="J41" s="211"/>
    </row>
    <row r="42" customFormat="false" ht="16.5" hidden="false" customHeight="false" outlineLevel="0" collapsed="false">
      <c r="A42" s="195"/>
      <c r="B42" s="97"/>
      <c r="C42" s="101" t="s">
        <v>283</v>
      </c>
      <c r="D42" s="198" t="n">
        <f aca="false">1/('INSERÇÃO-DE-DADOS_PRODUTIVIDADE'!H16*'INSERÇÃO-DE-DADOS_PRODUTIVIDADE'!L17)</f>
        <v>0.000555555555555556</v>
      </c>
      <c r="E42" s="209" t="n">
        <f aca="false">'INSERÇÃO-DE-DADOS_PRODUTIVIDADE'!L16</f>
        <v>16</v>
      </c>
      <c r="F42" s="210" t="n">
        <f aca="false">1/((DIAS_NO_MES/DIAS_NA_SEMANA)*CARGA_HORARIA_SEMANAL)</f>
        <v>0.00583333333333333</v>
      </c>
      <c r="G42" s="210" t="n">
        <f aca="false">D42*E42*F42</f>
        <v>5.18518518518519E-005</v>
      </c>
      <c r="H42" s="199" t="n">
        <f aca="false">ENCARREGADO!VALOR_TOTAL_ENC</f>
        <v>3473.57356840807</v>
      </c>
      <c r="I42" s="199" t="n">
        <f aca="false">G42*H42</f>
        <v>0.180111222065604</v>
      </c>
    </row>
    <row r="43" customFormat="false" ht="16.5" hidden="false" customHeight="false" outlineLevel="0" collapsed="false">
      <c r="A43" s="195"/>
      <c r="B43" s="97" t="s">
        <v>264</v>
      </c>
      <c r="C43" s="101" t="s">
        <v>282</v>
      </c>
      <c r="D43" s="198" t="n">
        <f aca="false">1/'INSERÇÃO-DE-DADOS_PRODUTIVIDADE'!H15</f>
        <v>0.00333333333333333</v>
      </c>
      <c r="E43" s="209" t="n">
        <f aca="false">'INSERÇÃO-DE-DADOS_PRODUTIVIDADE'!L15</f>
        <v>16</v>
      </c>
      <c r="F43" s="210" t="n">
        <f aca="false">1/((DIAS_NO_MES/DIAS_NA_SEMANA)*CARGA_HORARIA_SEMANAL)</f>
        <v>0.00583333333333333</v>
      </c>
      <c r="G43" s="210" t="n">
        <f aca="false">D43*E43*F43</f>
        <v>0.000311111111111111</v>
      </c>
      <c r="H43" s="199" t="n">
        <f aca="false">VALOR_TOTAL_SERV</f>
        <v>4333.02164169713</v>
      </c>
      <c r="I43" s="199" t="n">
        <f aca="false">G43*H43</f>
        <v>1.34805117741689</v>
      </c>
      <c r="J43" s="211"/>
    </row>
    <row r="44" customFormat="false" ht="16.5" hidden="false" customHeight="false" outlineLevel="0" collapsed="false">
      <c r="A44" s="195"/>
      <c r="B44" s="97"/>
      <c r="C44" s="101" t="s">
        <v>283</v>
      </c>
      <c r="D44" s="198" t="n">
        <f aca="false">1/'INSERÇÃO-DE-DADOS_PRODUTIVIDADE'!H16</f>
        <v>0.00333333333333333</v>
      </c>
      <c r="E44" s="209" t="n">
        <f aca="false">'INSERÇÃO-DE-DADOS_PRODUTIVIDADE'!L16</f>
        <v>16</v>
      </c>
      <c r="F44" s="210" t="n">
        <f aca="false">1/((DIAS_NO_MES/DIAS_NA_SEMANA)*CARGA_HORARIA_SEMANAL)</f>
        <v>0.00583333333333333</v>
      </c>
      <c r="G44" s="210" t="n">
        <f aca="false">D44*E44*F44</f>
        <v>0.000311111111111111</v>
      </c>
      <c r="H44" s="199" t="n">
        <f aca="false">VALOR_TOTAL_SERV</f>
        <v>4333.02164169713</v>
      </c>
      <c r="I44" s="199" t="n">
        <f aca="false">G44*H44</f>
        <v>1.34805117741689</v>
      </c>
    </row>
    <row r="45" customFormat="false" ht="14.85" hidden="false" customHeight="true" outlineLevel="0" collapsed="false">
      <c r="A45" s="195"/>
      <c r="B45" s="212" t="s">
        <v>284</v>
      </c>
      <c r="C45" s="212"/>
      <c r="D45" s="212"/>
      <c r="E45" s="212"/>
      <c r="F45" s="212"/>
      <c r="G45" s="212"/>
      <c r="H45" s="212"/>
      <c r="I45" s="213" t="n">
        <f aca="false">I41+I43</f>
        <v>1.52816239948249</v>
      </c>
    </row>
    <row r="46" customFormat="false" ht="14.85" hidden="false" customHeight="true" outlineLevel="0" collapsed="false">
      <c r="A46" s="195"/>
      <c r="B46" s="212" t="s">
        <v>285</v>
      </c>
      <c r="C46" s="212"/>
      <c r="D46" s="212"/>
      <c r="E46" s="212"/>
      <c r="F46" s="212"/>
      <c r="G46" s="212"/>
      <c r="H46" s="212"/>
      <c r="I46" s="213" t="n">
        <f aca="false">I42+I44</f>
        <v>1.52816239948249</v>
      </c>
    </row>
    <row r="47" customFormat="false" ht="10.35" hidden="false" customHeight="true" outlineLevel="0" collapsed="false">
      <c r="A47" s="195"/>
      <c r="B47" s="197"/>
      <c r="C47" s="203"/>
      <c r="D47" s="204"/>
      <c r="E47" s="204"/>
      <c r="F47" s="204"/>
      <c r="G47" s="204"/>
      <c r="H47" s="204"/>
      <c r="I47" s="204"/>
    </row>
    <row r="48" customFormat="false" ht="9" hidden="false" customHeight="true" outlineLevel="0" collapsed="false">
      <c r="B48" s="197"/>
      <c r="C48" s="203"/>
      <c r="D48" s="204"/>
      <c r="E48" s="204"/>
      <c r="F48" s="204"/>
      <c r="G48" s="208"/>
      <c r="H48" s="177"/>
    </row>
    <row r="49" s="206" customFormat="true" ht="13.5" hidden="false" customHeight="true" outlineLevel="0" collapsed="false">
      <c r="B49" s="214" t="s">
        <v>286</v>
      </c>
      <c r="C49" s="214"/>
      <c r="D49" s="214"/>
      <c r="E49" s="214"/>
      <c r="F49" s="214"/>
      <c r="G49" s="215"/>
      <c r="H49" s="216"/>
    </row>
    <row r="50" customFormat="false" ht="13.5" hidden="false" customHeight="true" outlineLevel="0" collapsed="false">
      <c r="B50" s="217"/>
      <c r="C50" s="217"/>
      <c r="D50" s="217"/>
      <c r="E50" s="217"/>
      <c r="F50" s="217"/>
      <c r="G50" s="218"/>
      <c r="I50" s="182"/>
    </row>
    <row r="51" s="182" customFormat="true" ht="14.25" hidden="false" customHeight="true" outlineLevel="0" collapsed="false">
      <c r="B51" s="49" t="s">
        <v>258</v>
      </c>
      <c r="C51" s="49"/>
      <c r="D51" s="49" t="s">
        <v>287</v>
      </c>
      <c r="E51" s="49" t="s">
        <v>288</v>
      </c>
      <c r="F51" s="49"/>
      <c r="G51" s="49"/>
      <c r="H51" s="49" t="s">
        <v>289</v>
      </c>
    </row>
    <row r="52" s="182" customFormat="true" ht="18" hidden="false" customHeight="true" outlineLevel="0" collapsed="false">
      <c r="B52" s="49"/>
      <c r="C52" s="49"/>
      <c r="D52" s="49"/>
      <c r="E52" s="49"/>
      <c r="F52" s="49"/>
      <c r="G52" s="49"/>
      <c r="H52" s="49"/>
    </row>
    <row r="53" customFormat="false" ht="33" hidden="false" customHeight="false" outlineLevel="0" collapsed="false">
      <c r="B53" s="49"/>
      <c r="C53" s="49"/>
      <c r="D53" s="49" t="s">
        <v>136</v>
      </c>
      <c r="E53" s="49" t="s">
        <v>262</v>
      </c>
      <c r="F53" s="49" t="s">
        <v>264</v>
      </c>
      <c r="G53" s="49" t="s">
        <v>290</v>
      </c>
      <c r="H53" s="49" t="s">
        <v>291</v>
      </c>
      <c r="I53" s="219"/>
    </row>
    <row r="54" customFormat="false" ht="16.5" hidden="false" customHeight="false" outlineLevel="0" collapsed="false">
      <c r="B54" s="97" t="s">
        <v>292</v>
      </c>
      <c r="C54" s="101" t="s">
        <v>263</v>
      </c>
      <c r="D54" s="220" t="n">
        <f aca="false">'INSERÇÃO-DE-DADOS_PRODUTIVIDADE'!D9</f>
        <v>3593.54</v>
      </c>
      <c r="E54" s="221" t="n">
        <f aca="false">F12</f>
        <v>0.723661160085013</v>
      </c>
      <c r="F54" s="221" t="n">
        <f aca="false">F13</f>
        <v>5.41627705212142</v>
      </c>
      <c r="G54" s="221" t="n">
        <f aca="false">E54+F54</f>
        <v>6.13993821220643</v>
      </c>
      <c r="H54" s="222" t="n">
        <f aca="false">D54*G54</f>
        <v>22064.1135630923</v>
      </c>
      <c r="I54" s="219"/>
      <c r="J54" s="219"/>
    </row>
    <row r="55" customFormat="false" ht="16.5" hidden="false" customHeight="false" outlineLevel="0" collapsed="false">
      <c r="B55" s="97"/>
      <c r="C55" s="101" t="s">
        <v>266</v>
      </c>
      <c r="D55" s="220" t="n">
        <f aca="false">'INSERÇÃO-DE-DADOS_PRODUTIVIDADE'!D10</f>
        <v>37.06</v>
      </c>
      <c r="E55" s="221" t="n">
        <f aca="false">F15</f>
        <v>0.385952618712007</v>
      </c>
      <c r="F55" s="221" t="n">
        <f aca="false">F16</f>
        <v>2.88868109446476</v>
      </c>
      <c r="G55" s="221" t="n">
        <f aca="false">E55+F55</f>
        <v>3.27463371317676</v>
      </c>
      <c r="H55" s="222" t="n">
        <f aca="false">D55*G55</f>
        <v>121.357925410331</v>
      </c>
      <c r="I55" s="219"/>
      <c r="J55" s="219"/>
    </row>
    <row r="56" customFormat="false" ht="16.5" hidden="false" customHeight="false" outlineLevel="0" collapsed="false">
      <c r="B56" s="97"/>
      <c r="C56" s="101" t="s">
        <v>268</v>
      </c>
      <c r="D56" s="220" t="n">
        <f aca="false">'INSERÇÃO-DE-DADOS_PRODUTIVIDADE'!D11</f>
        <v>116.45</v>
      </c>
      <c r="E56" s="221" t="n">
        <f aca="false">F18</f>
        <v>2.89464464034005</v>
      </c>
      <c r="F56" s="221" t="n">
        <f aca="false">F19</f>
        <v>21.6651082084857</v>
      </c>
      <c r="G56" s="221" t="n">
        <f aca="false">E56+F56</f>
        <v>24.5597528488257</v>
      </c>
      <c r="H56" s="222" t="n">
        <f aca="false">D56*G56</f>
        <v>2859.98321924576</v>
      </c>
      <c r="I56" s="219"/>
      <c r="J56" s="219"/>
    </row>
    <row r="57" customFormat="false" ht="16.5" hidden="false" customHeight="false" outlineLevel="0" collapsed="false">
      <c r="B57" s="97" t="s">
        <v>293</v>
      </c>
      <c r="C57" s="101" t="s">
        <v>271</v>
      </c>
      <c r="D57" s="220" t="n">
        <f aca="false">'INSERÇÃO-DE-DADOS_PRODUTIVIDADE'!D12</f>
        <v>176.15</v>
      </c>
      <c r="E57" s="220" t="n">
        <f aca="false">F26</f>
        <v>0.321627182260006</v>
      </c>
      <c r="F57" s="220" t="n">
        <f aca="false">F27</f>
        <v>2.4072342453873</v>
      </c>
      <c r="G57" s="221" t="n">
        <f aca="false">E57+F57</f>
        <v>2.7288614276473</v>
      </c>
      <c r="H57" s="222" t="n">
        <f aca="false">D57*G57</f>
        <v>480.688940480073</v>
      </c>
      <c r="I57" s="219"/>
      <c r="J57" s="219"/>
    </row>
    <row r="58" customFormat="false" ht="49.5" hidden="false" customHeight="false" outlineLevel="0" collapsed="false">
      <c r="B58" s="97"/>
      <c r="C58" s="101" t="s">
        <v>273</v>
      </c>
      <c r="D58" s="220" t="n">
        <f aca="false">'INSERÇÃO-DE-DADOS_PRODUTIVIDADE'!D13</f>
        <v>2814.91</v>
      </c>
      <c r="E58" s="220" t="n">
        <f aca="false">F29</f>
        <v>0.0964881546780019</v>
      </c>
      <c r="F58" s="220" t="n">
        <f aca="false">F30</f>
        <v>0.722170273616191</v>
      </c>
      <c r="G58" s="221" t="n">
        <f aca="false">E58+F58</f>
        <v>0.818658428294192</v>
      </c>
      <c r="H58" s="222" t="n">
        <f aca="false">D58*G58</f>
        <v>2304.44979638961</v>
      </c>
      <c r="I58" s="219"/>
      <c r="J58" s="219"/>
    </row>
    <row r="59" customFormat="false" ht="16.5" hidden="false" customHeight="false" outlineLevel="0" collapsed="false">
      <c r="B59" s="97"/>
      <c r="C59" s="101" t="s">
        <v>275</v>
      </c>
      <c r="D59" s="220" t="n">
        <f aca="false">'INSERÇÃO-DE-DADOS_PRODUTIVIDADE'!D14</f>
        <v>237.53</v>
      </c>
      <c r="E59" s="220" t="n">
        <f aca="false">F32</f>
        <v>0.321627182260006</v>
      </c>
      <c r="F59" s="220" t="n">
        <f aca="false">F33</f>
        <v>2.4072342453873</v>
      </c>
      <c r="G59" s="221" t="n">
        <f aca="false">E59+F59</f>
        <v>2.7288614276473</v>
      </c>
      <c r="H59" s="222" t="n">
        <f aca="false">D59*G59</f>
        <v>648.186454909064</v>
      </c>
      <c r="I59" s="219"/>
      <c r="J59" s="219"/>
    </row>
    <row r="60" customFormat="false" ht="16.5" hidden="false" customHeight="false" outlineLevel="0" collapsed="false">
      <c r="B60" s="97" t="s">
        <v>294</v>
      </c>
      <c r="C60" s="101" t="s">
        <v>282</v>
      </c>
      <c r="D60" s="220" t="n">
        <f aca="false">'INSERÇÃO-DE-DADOS_PRODUTIVIDADE'!D15</f>
        <v>358.43</v>
      </c>
      <c r="E60" s="221" t="n">
        <f aca="false">I41</f>
        <v>0.180111222065604</v>
      </c>
      <c r="F60" s="221" t="n">
        <f aca="false">CUSTO_M2_ESQ_EXTERNA_SERV</f>
        <v>1.34805117741689</v>
      </c>
      <c r="G60" s="221" t="n">
        <f aca="false">E60+F60</f>
        <v>1.52816239948249</v>
      </c>
      <c r="H60" s="222" t="n">
        <f aca="false">D60*G60</f>
        <v>547.739248846509</v>
      </c>
      <c r="I60" s="219"/>
      <c r="J60" s="219"/>
    </row>
    <row r="61" customFormat="false" ht="16.5" hidden="false" customHeight="false" outlineLevel="0" collapsed="false">
      <c r="B61" s="97"/>
      <c r="C61" s="101" t="s">
        <v>283</v>
      </c>
      <c r="D61" s="220" t="n">
        <f aca="false">'INSERÇÃO-DE-DADOS_PRODUTIVIDADE'!D16</f>
        <v>358.43</v>
      </c>
      <c r="E61" s="221" t="n">
        <f aca="false">I42</f>
        <v>0.180111222065604</v>
      </c>
      <c r="F61" s="221" t="n">
        <f aca="false">I44</f>
        <v>1.34805117741689</v>
      </c>
      <c r="G61" s="221" t="n">
        <f aca="false">E61+F61</f>
        <v>1.52816239948249</v>
      </c>
      <c r="H61" s="222" t="n">
        <f aca="false">D61*G61</f>
        <v>547.739248846509</v>
      </c>
      <c r="I61" s="219"/>
      <c r="J61" s="219"/>
    </row>
    <row r="62" customFormat="false" ht="16.5" hidden="false" customHeight="false" outlineLevel="0" collapsed="false">
      <c r="B62" s="223" t="s">
        <v>295</v>
      </c>
      <c r="C62" s="223"/>
      <c r="D62" s="223"/>
      <c r="E62" s="223"/>
      <c r="F62" s="223"/>
      <c r="G62" s="223"/>
      <c r="H62" s="224" t="n">
        <f aca="false">SUM(H54:H61)</f>
        <v>29574.2583972201</v>
      </c>
      <c r="I62" s="219"/>
      <c r="J62" s="219"/>
    </row>
    <row r="63" customFormat="false" ht="16.5" hidden="false" customHeight="false" outlineLevel="0" collapsed="false">
      <c r="J63" s="219"/>
    </row>
    <row r="64" s="206" customFormat="true" ht="13.5" hidden="false" customHeight="true" outlineLevel="0" collapsed="false">
      <c r="C64" s="225"/>
    </row>
    <row r="65" customFormat="false" ht="13.5" hidden="false" customHeight="true" outlineLevel="0" collapsed="false">
      <c r="I65" s="182"/>
    </row>
    <row r="66" customFormat="false" ht="14.25" hidden="false" customHeight="true" outlineLevel="0" collapsed="false">
      <c r="I66" s="182"/>
    </row>
    <row r="67" customFormat="false" ht="16.5" hidden="false" customHeight="false" outlineLevel="0" collapsed="false">
      <c r="I67" s="182"/>
    </row>
    <row r="68" customFormat="false" ht="16.5" hidden="false" customHeight="false" outlineLevel="0" collapsed="false">
      <c r="I68" s="182"/>
    </row>
    <row r="69" customFormat="false" ht="16.5" hidden="false" customHeight="false" outlineLevel="0" collapsed="false">
      <c r="I69" s="182"/>
    </row>
    <row r="70" customFormat="false" ht="36" hidden="false" customHeight="true" outlineLevel="0" collapsed="false">
      <c r="I70" s="182"/>
    </row>
    <row r="71" customFormat="false" ht="16.5" hidden="false" customHeight="false" outlineLevel="0" collapsed="false">
      <c r="I71" s="182"/>
    </row>
    <row r="72" customFormat="false" ht="49.5" hidden="false" customHeight="true" outlineLevel="0" collapsed="false">
      <c r="I72" s="182"/>
    </row>
  </sheetData>
  <mergeCells count="45">
    <mergeCell ref="B1:I1"/>
    <mergeCell ref="B2:G2"/>
    <mergeCell ref="B4:I4"/>
    <mergeCell ref="B5:I5"/>
    <mergeCell ref="B7:I7"/>
    <mergeCell ref="B8:I9"/>
    <mergeCell ref="B10:B11"/>
    <mergeCell ref="C10:C11"/>
    <mergeCell ref="D10:D11"/>
    <mergeCell ref="E10:E11"/>
    <mergeCell ref="F10:F11"/>
    <mergeCell ref="B14:E14"/>
    <mergeCell ref="B17:E17"/>
    <mergeCell ref="B20:E20"/>
    <mergeCell ref="B22:I23"/>
    <mergeCell ref="B24:B25"/>
    <mergeCell ref="C24:C25"/>
    <mergeCell ref="D24:D25"/>
    <mergeCell ref="E24:E25"/>
    <mergeCell ref="F24:F25"/>
    <mergeCell ref="B28:E28"/>
    <mergeCell ref="B31:E31"/>
    <mergeCell ref="B34:E34"/>
    <mergeCell ref="B36:I37"/>
    <mergeCell ref="B38:B40"/>
    <mergeCell ref="C38:C40"/>
    <mergeCell ref="D38:D40"/>
    <mergeCell ref="E38:E40"/>
    <mergeCell ref="F38:F40"/>
    <mergeCell ref="G38:G40"/>
    <mergeCell ref="H38:H40"/>
    <mergeCell ref="I38:I40"/>
    <mergeCell ref="B41:B42"/>
    <mergeCell ref="B43:B44"/>
    <mergeCell ref="B45:H45"/>
    <mergeCell ref="B46:H46"/>
    <mergeCell ref="B49:F49"/>
    <mergeCell ref="B51:C53"/>
    <mergeCell ref="D51:D52"/>
    <mergeCell ref="E51:G52"/>
    <mergeCell ref="H51:H52"/>
    <mergeCell ref="B54:B56"/>
    <mergeCell ref="B57:B59"/>
    <mergeCell ref="B60:B61"/>
    <mergeCell ref="B62:G62"/>
  </mergeCells>
  <printOptions headings="false" gridLines="false" gridLinesSet="true" horizontalCentered="false" verticalCentered="false"/>
  <pageMargins left="0.511805555555555" right="0.511805555555555" top="0.7875" bottom="0.7875"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false"/>
  </sheetPr>
  <dimension ref="B1:N1048576"/>
  <sheetViews>
    <sheetView showFormulas="false" showGridLines="true" showRowColHeaders="true" showZeros="true" rightToLeft="false" tabSelected="false" showOutlineSymbols="true" defaultGridColor="true" view="normal" topLeftCell="A58" colorId="64" zoomScale="80" zoomScaleNormal="80" zoomScalePageLayoutView="100" workbookViewId="0">
      <selection pane="topLeft" activeCell="F97" activeCellId="0" sqref="F97"/>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77" width="18.85"/>
    <col collapsed="false" customWidth="true" hidden="false" outlineLevel="0" max="9" min="9" style="177" width="14.86"/>
    <col collapsed="false" customWidth="true" hidden="false" outlineLevel="0" max="10" min="10" style="177" width="12.71"/>
    <col collapsed="false" customWidth="true" hidden="false" outlineLevel="0" max="11" min="11" style="177" width="14.01"/>
    <col collapsed="false" customWidth="true" hidden="false" outlineLevel="0" max="12" min="12" style="178" width="13.7"/>
    <col collapsed="false" customWidth="true" hidden="false" outlineLevel="0" max="13" min="13" style="178" width="9.42"/>
    <col collapsed="false" customWidth="true" hidden="false" outlineLevel="0" max="14" min="14" style="178" width="12.86"/>
    <col collapsed="false" customWidth="true" hidden="false" outlineLevel="0" max="1025" min="15" style="1" width="9.13"/>
  </cols>
  <sheetData>
    <row r="1" s="1" customFormat="true" ht="20.25" hidden="false" customHeight="false" outlineLevel="0" collapsed="false">
      <c r="B1" s="128" t="str">
        <f aca="false">RAMO</f>
        <v>RAMO: MINISTÉRIO PÚBLICO FEDERAL</v>
      </c>
      <c r="C1" s="128"/>
      <c r="D1" s="128"/>
      <c r="E1" s="128"/>
      <c r="F1" s="128"/>
    </row>
    <row r="2" s="1" customFormat="true" ht="20.25" hidden="false" customHeight="false" outlineLevel="0" collapsed="false">
      <c r="B2" s="129" t="str">
        <f aca="false">UG</f>
        <v>UNIDADE GESTORA (SIGLA): PRMS</v>
      </c>
      <c r="C2" s="129"/>
      <c r="D2" s="129"/>
      <c r="E2" s="130" t="s">
        <v>2</v>
      </c>
      <c r="F2" s="131" t="n">
        <f aca="false">IF(DATA_DO_ORCAMENTO_ESTIMATIVO="","",DATA_DO_ORCAMENTO_ESTIMATIVO)</f>
        <v>44915</v>
      </c>
    </row>
    <row r="3" s="3" customFormat="true" ht="25.5" hidden="false" customHeight="false" outlineLevel="0" collapsed="false">
      <c r="B3" s="6" t="s">
        <v>296</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225</v>
      </c>
      <c r="C5" s="8"/>
      <c r="D5" s="132" t="str">
        <f aca="false">NUMERO_PROCESSO</f>
        <v>1.21.000.000675/2022-97</v>
      </c>
      <c r="E5" s="132"/>
      <c r="F5" s="132"/>
    </row>
    <row r="6" s="3" customFormat="true" ht="15.75" hidden="false" customHeight="true" outlineLevel="0" collapsed="false">
      <c r="B6" s="10" t="s">
        <v>226</v>
      </c>
      <c r="C6" s="10"/>
      <c r="D6" s="133" t="str">
        <f aca="false">MODALIDADE_DE_LICITACAO</f>
        <v>Pregão nº</v>
      </c>
      <c r="E6" s="133"/>
      <c r="F6" s="134" t="str">
        <f aca="false">NUMERO_PREGAO</f>
        <v>1/2022</v>
      </c>
    </row>
    <row r="7" s="13" customFormat="true" ht="15.75" hidden="false" customHeight="true" outlineLevel="0" collapsed="false">
      <c r="B7" s="135" t="s">
        <v>227</v>
      </c>
      <c r="C7" s="135"/>
      <c r="D7" s="135"/>
      <c r="E7" s="135"/>
      <c r="F7" s="135"/>
    </row>
    <row r="8" s="3" customFormat="true" ht="18" hidden="false" customHeight="true" outlineLevel="0" collapsed="false">
      <c r="B8" s="19" t="s">
        <v>17</v>
      </c>
      <c r="C8" s="8" t="s">
        <v>18</v>
      </c>
      <c r="D8" s="8"/>
      <c r="E8" s="8"/>
      <c r="F8" s="136" t="s">
        <v>229</v>
      </c>
    </row>
    <row r="9" s="3" customFormat="true" ht="15.95" hidden="false" customHeight="true" outlineLevel="0" collapsed="false">
      <c r="B9" s="21" t="s">
        <v>19</v>
      </c>
      <c r="C9" s="22" t="s">
        <v>20</v>
      </c>
      <c r="D9" s="114" t="str">
        <f aca="false">IF(LOCAL_DE_EXECUCAO="","",LOCAL_DE_EXECUCAO)</f>
        <v/>
      </c>
      <c r="E9" s="114"/>
      <c r="F9" s="114"/>
    </row>
    <row r="10" s="3" customFormat="true" ht="18.75" hidden="false" customHeight="true" outlineLevel="0" collapsed="false">
      <c r="B10" s="19" t="s">
        <v>21</v>
      </c>
      <c r="C10" s="8" t="s">
        <v>25</v>
      </c>
      <c r="D10" s="8"/>
      <c r="E10" s="8"/>
      <c r="F10" s="137" t="str">
        <f aca="false">ACORDO_COLETIVO</f>
        <v>01/2022</v>
      </c>
    </row>
    <row r="11" s="3" customFormat="true" ht="15.95" hidden="false" customHeight="true" outlineLevel="0" collapsed="false">
      <c r="B11" s="21" t="s">
        <v>24</v>
      </c>
      <c r="C11" s="114" t="s">
        <v>28</v>
      </c>
      <c r="D11" s="114"/>
      <c r="E11" s="114"/>
      <c r="F11" s="67" t="n">
        <f aca="false">NUMERO_MESES_EXEC_CONTRATUAL</f>
        <v>12</v>
      </c>
    </row>
    <row r="12" s="3" customFormat="true" ht="16.5" hidden="false" customHeight="false" outlineLevel="0" collapsed="false">
      <c r="B12" s="21" t="s">
        <v>27</v>
      </c>
      <c r="C12" s="138" t="s">
        <v>251</v>
      </c>
      <c r="D12" s="138"/>
      <c r="E12" s="138"/>
      <c r="F12" s="26" t="n">
        <v>2</v>
      </c>
    </row>
    <row r="13" s="139" customFormat="true" ht="15" hidden="false" customHeight="true" outlineLevel="0" collapsed="false">
      <c r="B13" s="140" t="s">
        <v>49</v>
      </c>
      <c r="C13" s="141"/>
      <c r="D13" s="141"/>
      <c r="E13" s="141"/>
      <c r="F13" s="141"/>
    </row>
    <row r="14" s="3" customFormat="true" ht="16.5" hidden="false" customHeight="false" outlineLevel="0" collapsed="false">
      <c r="B14" s="19" t="n">
        <v>1</v>
      </c>
      <c r="C14" s="8" t="s">
        <v>43</v>
      </c>
      <c r="D14" s="8"/>
      <c r="E14" s="26" t="str">
        <f aca="false">TIPO_DE_SERVICO</f>
        <v>Limpeza e Conservação</v>
      </c>
      <c r="F14" s="26"/>
    </row>
    <row r="15" s="13" customFormat="true" ht="16.5" hidden="false" customHeight="false" outlineLevel="0" collapsed="false">
      <c r="B15" s="19" t="n">
        <v>2</v>
      </c>
      <c r="C15" s="39" t="s">
        <v>45</v>
      </c>
      <c r="D15" s="142" t="str">
        <f aca="false">CBO</f>
        <v>5143-20</v>
      </c>
      <c r="E15" s="142"/>
      <c r="F15" s="142"/>
    </row>
    <row r="16" s="3" customFormat="true" ht="15" hidden="false" customHeight="true" outlineLevel="0" collapsed="false">
      <c r="B16" s="19" t="n">
        <v>3</v>
      </c>
      <c r="C16" s="143" t="s">
        <v>231</v>
      </c>
      <c r="D16" s="132" t="str">
        <f aca="false">'INSERÇÃO-DE-DADOS_MÃO DE OBRA'!C21</f>
        <v>Servente Unidades do interior</v>
      </c>
      <c r="E16" s="132"/>
      <c r="F16" s="132"/>
    </row>
    <row r="17" s="3" customFormat="true" ht="15" hidden="false" customHeight="true" outlineLevel="0" collapsed="false">
      <c r="B17" s="19" t="n">
        <v>4</v>
      </c>
      <c r="C17" s="10" t="s">
        <v>47</v>
      </c>
      <c r="D17" s="10"/>
      <c r="E17" s="10"/>
      <c r="F17" s="179" t="n">
        <f aca="false">DATA_BASE_CATEGORIA</f>
        <v>44562</v>
      </c>
    </row>
    <row r="18" s="146" customFormat="true" ht="20.25" hidden="false" customHeight="true" outlineLevel="0" collapsed="false">
      <c r="B18" s="147" t="s">
        <v>232</v>
      </c>
      <c r="C18" s="147"/>
      <c r="D18" s="147"/>
      <c r="E18" s="147"/>
      <c r="F18" s="147"/>
    </row>
    <row r="19" customFormat="false" ht="16.5" hidden="false" customHeight="false" outlineLevel="0" collapsed="false">
      <c r="B19" s="46" t="s">
        <v>50</v>
      </c>
      <c r="E19" s="47"/>
      <c r="F19" s="47"/>
    </row>
    <row r="20" customFormat="false" ht="16.5" hidden="false" customHeight="true" outlineLevel="0" collapsed="false">
      <c r="B20" s="21" t="n">
        <v>1</v>
      </c>
      <c r="C20" s="48" t="s">
        <v>51</v>
      </c>
      <c r="D20" s="48"/>
      <c r="E20" s="48"/>
      <c r="F20" s="49" t="s">
        <v>104</v>
      </c>
    </row>
    <row r="21" customFormat="false" ht="16.5" hidden="false" customHeight="true" outlineLevel="0" collapsed="false">
      <c r="B21" s="21" t="s">
        <v>17</v>
      </c>
      <c r="C21" s="79" t="s">
        <v>233</v>
      </c>
      <c r="D21" s="79"/>
      <c r="E21" s="79"/>
      <c r="F21" s="148" t="n">
        <f aca="false">SALARIO_NORMATIVO_SERV</f>
        <v>1217</v>
      </c>
    </row>
    <row r="22" s="1" customFormat="true" ht="16.5" hidden="false" customHeight="true" outlineLevel="0" collapsed="false">
      <c r="B22" s="21" t="s">
        <v>19</v>
      </c>
      <c r="C22" s="25" t="s">
        <v>234</v>
      </c>
      <c r="D22" s="25"/>
      <c r="E22" s="25"/>
      <c r="F22" s="149" t="n">
        <f aca="false">IF(ADIC_INSALUB_SERV="SIM",PERC_ADIC_INSALUB%*SAL_MINIMO,0)</f>
        <v>0</v>
      </c>
    </row>
    <row r="23" customFormat="false" ht="16.5" hidden="false" customHeight="false" outlineLevel="0" collapsed="false">
      <c r="B23" s="21" t="s">
        <v>21</v>
      </c>
      <c r="C23" s="79" t="str">
        <f aca="false">OUTROS_REMUNERACAO_1_DESCRICAO</f>
        <v>Gratificação de função (Apenas para encarregada)</v>
      </c>
      <c r="D23" s="79"/>
      <c r="E23" s="79"/>
      <c r="F23" s="148" t="n">
        <f aca="false">OUTROS_REMUNERACAO_1-'INSERÇÃO-DE-DADOS_MÃO DE OBRA'!F33</f>
        <v>0</v>
      </c>
    </row>
    <row r="24" customFormat="false" ht="15.75" hidden="false" customHeight="true" outlineLevel="0" collapsed="false">
      <c r="B24" s="21" t="s">
        <v>24</v>
      </c>
      <c r="C24" s="50" t="str">
        <f aca="false">OUTROS_REMUNERACAO_2_DESCRICAO</f>
        <v>Outras Remunerações 2 (Especificar)</v>
      </c>
      <c r="D24" s="50"/>
      <c r="E24" s="50"/>
      <c r="F24" s="149" t="n">
        <f aca="false">OUTROS_REMUNERACAO_2</f>
        <v>0</v>
      </c>
    </row>
    <row r="25" customFormat="false" ht="15.75" hidden="false" customHeight="true" outlineLevel="0" collapsed="false">
      <c r="B25" s="21" t="s">
        <v>27</v>
      </c>
      <c r="C25" s="79" t="str">
        <f aca="false">OUTROS_REMUNERACAO_3_DESCRICAO</f>
        <v>Outras Remunerações 3 (Especificar)</v>
      </c>
      <c r="D25" s="79"/>
      <c r="E25" s="79"/>
      <c r="F25" s="148" t="n">
        <f aca="false">OUTROS_REMUNERACAO_3</f>
        <v>0</v>
      </c>
    </row>
    <row r="26" customFormat="false" ht="15.75" hidden="false" customHeight="true" outlineLevel="0" collapsed="false">
      <c r="B26" s="48" t="s">
        <v>63</v>
      </c>
      <c r="C26" s="48"/>
      <c r="D26" s="48"/>
      <c r="E26" s="48"/>
      <c r="F26" s="150" t="n">
        <f aca="false">SUM(F21:F25)</f>
        <v>1217</v>
      </c>
      <c r="L26" s="177"/>
      <c r="M26" s="177"/>
    </row>
    <row r="27" customFormat="false" ht="16.5" hidden="false" customHeight="false" outlineLevel="0" collapsed="false">
      <c r="B27" s="46" t="s">
        <v>57</v>
      </c>
      <c r="E27" s="56"/>
      <c r="F27" s="56"/>
      <c r="L27" s="177"/>
      <c r="M27" s="177"/>
    </row>
    <row r="28" customFormat="false" ht="16.5" hidden="false" customHeight="false" outlineLevel="0" collapsed="false">
      <c r="B28" s="46" t="s">
        <v>192</v>
      </c>
      <c r="C28" s="74"/>
      <c r="D28" s="75"/>
      <c r="E28" s="76"/>
      <c r="F28" s="76"/>
      <c r="L28" s="177"/>
      <c r="M28" s="177"/>
      <c r="N28" s="180"/>
    </row>
    <row r="29" customFormat="false" ht="16.5" hidden="false" customHeight="false" outlineLevel="0" collapsed="false">
      <c r="B29" s="21" t="s">
        <v>193</v>
      </c>
      <c r="C29" s="61" t="s">
        <v>194</v>
      </c>
      <c r="D29" s="61"/>
      <c r="E29" s="49" t="s">
        <v>92</v>
      </c>
      <c r="F29" s="49" t="s">
        <v>104</v>
      </c>
      <c r="L29" s="177"/>
      <c r="M29" s="177"/>
      <c r="N29" s="180"/>
    </row>
    <row r="30" customFormat="false" ht="16.5" hidden="false" customHeight="true" outlineLevel="0" collapsed="false">
      <c r="B30" s="21" t="s">
        <v>17</v>
      </c>
      <c r="C30" s="59" t="s">
        <v>196</v>
      </c>
      <c r="D30" s="59"/>
      <c r="E30" s="117" t="n">
        <f aca="false">PERC_DEC_TERC</f>
        <v>8.33333333333333</v>
      </c>
      <c r="F30" s="113" t="n">
        <f aca="false">PERC_DEC_TERC%*MOD_1_REMUNERACAO_SERV</f>
        <v>101.416666666667</v>
      </c>
      <c r="L30" s="177"/>
      <c r="M30" s="177"/>
      <c r="N30" s="180"/>
    </row>
    <row r="31" customFormat="false" ht="16.5" hidden="false" customHeight="true" outlineLevel="0" collapsed="false">
      <c r="B31" s="49" t="s">
        <v>19</v>
      </c>
      <c r="C31" s="25" t="s">
        <v>198</v>
      </c>
      <c r="D31" s="25"/>
      <c r="E31" s="119" t="n">
        <f aca="false">PERC_ADIC_FERIAS</f>
        <v>2.77777777777778</v>
      </c>
      <c r="F31" s="115" t="n">
        <f aca="false">PERC_ADIC_FERIAS%*MOD_1_REMUNERACAO_SERV</f>
        <v>33.8055555555556</v>
      </c>
      <c r="L31" s="177"/>
      <c r="M31" s="177"/>
      <c r="N31" s="180"/>
    </row>
    <row r="32" customFormat="false" ht="16.5" hidden="false" customHeight="false" outlineLevel="0" collapsed="false">
      <c r="B32" s="61" t="s">
        <v>63</v>
      </c>
      <c r="C32" s="61"/>
      <c r="D32" s="61"/>
      <c r="E32" s="61"/>
      <c r="F32" s="62" t="n">
        <f aca="false">SUM(F30:F31)</f>
        <v>135.222222222222</v>
      </c>
      <c r="L32" s="177"/>
      <c r="M32" s="177"/>
    </row>
    <row r="33" customFormat="false" ht="31.7" hidden="false" customHeight="true" outlineLevel="0" collapsed="false">
      <c r="B33" s="151" t="s">
        <v>58</v>
      </c>
      <c r="C33" s="151"/>
      <c r="D33" s="151"/>
      <c r="E33" s="151"/>
      <c r="F33" s="151"/>
      <c r="L33" s="177"/>
      <c r="M33" s="177"/>
    </row>
    <row r="34" customFormat="false" ht="31.7" hidden="false" customHeight="true" outlineLevel="0" collapsed="false">
      <c r="B34" s="21" t="s">
        <v>59</v>
      </c>
      <c r="C34" s="58" t="s">
        <v>60</v>
      </c>
      <c r="D34" s="58"/>
      <c r="E34" s="49" t="s">
        <v>92</v>
      </c>
      <c r="F34" s="49" t="s">
        <v>104</v>
      </c>
      <c r="L34" s="177"/>
      <c r="M34" s="177"/>
    </row>
    <row r="35" s="118" customFormat="true" ht="16.5" hidden="false" customHeight="true" outlineLevel="0" collapsed="false">
      <c r="B35" s="21" t="s">
        <v>17</v>
      </c>
      <c r="C35" s="59" t="s">
        <v>200</v>
      </c>
      <c r="D35" s="59"/>
      <c r="E35" s="117" t="n">
        <f aca="false">PERC_INSS</f>
        <v>20</v>
      </c>
      <c r="F35" s="113" t="n">
        <f aca="false">PERC_INSS%*(MOD_1_REMUNERACAO_SERV+SUBMOD_2_1_DEC_TERC_ADIC_FERIAS_SERV)</f>
        <v>270.444444444444</v>
      </c>
      <c r="H35" s="177"/>
      <c r="I35" s="177"/>
      <c r="J35" s="177"/>
      <c r="K35" s="177"/>
      <c r="L35" s="177"/>
      <c r="M35" s="177"/>
      <c r="N35" s="178"/>
    </row>
    <row r="36" s="54" customFormat="true" ht="16.5" hidden="false" customHeight="true" outlineLevel="0" collapsed="false">
      <c r="B36" s="49" t="s">
        <v>19</v>
      </c>
      <c r="C36" s="25" t="s">
        <v>201</v>
      </c>
      <c r="D36" s="25"/>
      <c r="E36" s="126" t="n">
        <f aca="false">PERC_SAL_EDUCACAO</f>
        <v>2.5</v>
      </c>
      <c r="F36" s="115" t="n">
        <f aca="false">PERC_SAL_EDUCACAO%*(MOD_1_REMUNERACAO_SERV+SUBMOD_2_1_DEC_TERC_ADIC_FERIAS_SERV)</f>
        <v>33.8055555555556</v>
      </c>
      <c r="H36" s="177"/>
      <c r="I36" s="177"/>
      <c r="J36" s="177"/>
      <c r="K36" s="177"/>
      <c r="L36" s="177"/>
      <c r="M36" s="177"/>
      <c r="N36" s="178"/>
    </row>
    <row r="37" s="54" customFormat="true" ht="16.5" hidden="false" customHeight="true" outlineLevel="0" collapsed="false">
      <c r="B37" s="49" t="s">
        <v>21</v>
      </c>
      <c r="C37" s="59" t="s">
        <v>235</v>
      </c>
      <c r="D37" s="59"/>
      <c r="E37" s="117" t="n">
        <f aca="false">PERC_RAT</f>
        <v>3</v>
      </c>
      <c r="F37" s="113" t="n">
        <f aca="false">PERC_RAT%*(MOD_1_REMUNERACAO_SERV+SUBMOD_2_1_DEC_TERC_ADIC_FERIAS_SERV)</f>
        <v>40.5666666666667</v>
      </c>
      <c r="H37" s="177"/>
      <c r="I37" s="177"/>
      <c r="J37" s="177"/>
      <c r="K37" s="177"/>
      <c r="L37" s="177"/>
      <c r="M37" s="177"/>
      <c r="N37" s="178"/>
    </row>
    <row r="38" s="54" customFormat="true" ht="16.5" hidden="false" customHeight="true" outlineLevel="0" collapsed="false">
      <c r="B38" s="49" t="s">
        <v>24</v>
      </c>
      <c r="C38" s="25" t="s">
        <v>203</v>
      </c>
      <c r="D38" s="25"/>
      <c r="E38" s="119" t="n">
        <f aca="false">PERC_SESC</f>
        <v>1.5</v>
      </c>
      <c r="F38" s="115" t="n">
        <f aca="false">PERC_SESC%*(MOD_1_REMUNERACAO_SERV+SUBMOD_2_1_DEC_TERC_ADIC_FERIAS_SERV)</f>
        <v>20.2833333333333</v>
      </c>
      <c r="H38" s="177"/>
      <c r="I38" s="177"/>
      <c r="J38" s="177"/>
      <c r="K38" s="177"/>
      <c r="L38" s="177"/>
      <c r="M38" s="177"/>
      <c r="N38" s="178"/>
    </row>
    <row r="39" customFormat="false" ht="16.5" hidden="false" customHeight="true" outlineLevel="0" collapsed="false">
      <c r="B39" s="49" t="s">
        <v>27</v>
      </c>
      <c r="C39" s="59" t="s">
        <v>204</v>
      </c>
      <c r="D39" s="59"/>
      <c r="E39" s="117" t="n">
        <f aca="false">PERC_SENAC</f>
        <v>1</v>
      </c>
      <c r="F39" s="113" t="n">
        <f aca="false">PERC_SENAC%*(MOD_1_REMUNERACAO_SERV+SUBMOD_2_1_DEC_TERC_ADIC_FERIAS_SERV)</f>
        <v>13.5222222222222</v>
      </c>
      <c r="L39" s="177"/>
      <c r="M39" s="177"/>
    </row>
    <row r="40" s="3" customFormat="true" ht="16.5" hidden="false" customHeight="true" outlineLevel="0" collapsed="false">
      <c r="B40" s="49" t="s">
        <v>86</v>
      </c>
      <c r="C40" s="25" t="s">
        <v>205</v>
      </c>
      <c r="D40" s="25"/>
      <c r="E40" s="126" t="n">
        <f aca="false">PERC_SEBRAE</f>
        <v>0.6</v>
      </c>
      <c r="F40" s="115" t="n">
        <f aca="false">PERC_SEBRAE%*(MOD_1_REMUNERACAO_SERV+SUBMOD_2_1_DEC_TERC_ADIC_FERIAS_SERV)</f>
        <v>8.11333333333334</v>
      </c>
      <c r="H40" s="178"/>
      <c r="I40" s="178"/>
      <c r="J40" s="178"/>
      <c r="K40" s="178"/>
      <c r="L40" s="178"/>
      <c r="M40" s="178"/>
      <c r="N40" s="178"/>
    </row>
    <row r="41" s="3" customFormat="true" ht="16.5" hidden="false" customHeight="true" outlineLevel="0" collapsed="false">
      <c r="B41" s="49" t="s">
        <v>167</v>
      </c>
      <c r="C41" s="59" t="s">
        <v>206</v>
      </c>
      <c r="D41" s="59"/>
      <c r="E41" s="117" t="n">
        <f aca="false">PERC_INCRA</f>
        <v>0.2</v>
      </c>
      <c r="F41" s="113" t="n">
        <f aca="false">PERC_INCRA%*(MOD_1_REMUNERACAO_SERV+SUBMOD_2_1_DEC_TERC_ADIC_FERIAS_SERV)</f>
        <v>2.70444444444444</v>
      </c>
      <c r="H41" s="178"/>
      <c r="I41" s="178"/>
      <c r="J41" s="178"/>
      <c r="K41" s="178"/>
      <c r="L41" s="178"/>
      <c r="M41" s="178"/>
      <c r="N41" s="178"/>
    </row>
    <row r="42" s="3" customFormat="true" ht="16.5" hidden="false" customHeight="true" outlineLevel="0" collapsed="false">
      <c r="B42" s="49" t="s">
        <v>169</v>
      </c>
      <c r="C42" s="25" t="s">
        <v>207</v>
      </c>
      <c r="D42" s="25"/>
      <c r="E42" s="126" t="n">
        <f aca="false">PERC_FGTS</f>
        <v>8</v>
      </c>
      <c r="F42" s="115" t="n">
        <f aca="false">PERC_FGTS%*(MOD_1_REMUNERACAO_SERV+SUBMOD_2_1_DEC_TERC_ADIC_FERIAS_SERV)</f>
        <v>108.177777777778</v>
      </c>
      <c r="H42" s="178"/>
      <c r="I42" s="178"/>
      <c r="J42" s="178"/>
      <c r="K42" s="178"/>
      <c r="L42" s="178"/>
      <c r="M42" s="178"/>
      <c r="N42" s="178"/>
    </row>
    <row r="43" s="3" customFormat="true" ht="16.5" hidden="false" customHeight="false" outlineLevel="0" collapsed="false">
      <c r="B43" s="61" t="s">
        <v>63</v>
      </c>
      <c r="C43" s="61"/>
      <c r="D43" s="61"/>
      <c r="E43" s="61"/>
      <c r="F43" s="152" t="n">
        <f aca="false">SUM(F35:F42)</f>
        <v>497.617777777778</v>
      </c>
      <c r="H43" s="178"/>
      <c r="I43" s="178"/>
      <c r="J43" s="178"/>
      <c r="K43" s="178"/>
      <c r="L43" s="178"/>
      <c r="M43" s="178"/>
      <c r="N43" s="178"/>
    </row>
    <row r="44" s="13" customFormat="true" ht="16.5" hidden="false" customHeight="false" outlineLevel="0" collapsed="false">
      <c r="B44" s="46" t="s">
        <v>65</v>
      </c>
      <c r="H44" s="178"/>
      <c r="I44" s="178"/>
      <c r="J44" s="178"/>
      <c r="K44" s="178"/>
      <c r="L44" s="178"/>
      <c r="M44" s="178"/>
      <c r="N44" s="178"/>
    </row>
    <row r="45" s="13" customFormat="true" ht="16.5" hidden="false" customHeight="true" outlineLevel="0" collapsed="false">
      <c r="B45" s="21" t="s">
        <v>66</v>
      </c>
      <c r="C45" s="48" t="s">
        <v>67</v>
      </c>
      <c r="D45" s="48"/>
      <c r="E45" s="48"/>
      <c r="F45" s="49" t="s">
        <v>104</v>
      </c>
      <c r="H45" s="181"/>
      <c r="I45" s="181"/>
      <c r="J45" s="181"/>
      <c r="K45" s="181"/>
      <c r="L45" s="181"/>
      <c r="M45" s="181"/>
      <c r="N45" s="181"/>
    </row>
    <row r="46" customFormat="false" ht="16.5" hidden="false" customHeight="true" outlineLevel="0" collapsed="false">
      <c r="B46" s="19" t="s">
        <v>17</v>
      </c>
      <c r="C46" s="59" t="s">
        <v>70</v>
      </c>
      <c r="D46" s="59"/>
      <c r="E46" s="59"/>
      <c r="F46" s="113" t="n">
        <f aca="false">IF(DIAS_TRABALHADOS_NO_MES=15,(TRANSPORTE_POR_DIA*DIAS_TRABALHADOS_NO_MES)-(PERC_DESC_TRANSP_REMUNERACAO%*(AL_1_A_SAL_BASE_SERV/2)),IF(DIAS_TRABALHADOS_NO_MES=22,('INSERÇÃO-DE-DADOS_MÃO DE OBRA'!F47*DIAS_TRABALHADOS_NO_MES)-(PERC_DESC_TRANSP_REMUNERACAO%*(AL_1_A_SAL_BASE_SERV))))</f>
        <v>69.98</v>
      </c>
      <c r="H46" s="181"/>
      <c r="I46" s="181"/>
      <c r="J46" s="181"/>
      <c r="K46" s="181"/>
      <c r="L46" s="181"/>
      <c r="M46" s="181"/>
      <c r="N46" s="181"/>
    </row>
    <row r="47" customFormat="false" ht="16.5" hidden="false" customHeight="true" outlineLevel="0" collapsed="false">
      <c r="B47" s="19" t="s">
        <v>19</v>
      </c>
      <c r="C47" s="25" t="s">
        <v>80</v>
      </c>
      <c r="D47" s="25"/>
      <c r="E47" s="25"/>
      <c r="F47" s="115" t="n">
        <f aca="false">ALIMENTACAO_POR_DIA*DIAS_TRABALHADOS_NO_MES</f>
        <v>272.25</v>
      </c>
      <c r="H47" s="181"/>
      <c r="I47" s="181"/>
      <c r="J47" s="181"/>
      <c r="K47" s="181"/>
      <c r="L47" s="181"/>
      <c r="M47" s="181"/>
      <c r="N47" s="181"/>
    </row>
    <row r="48" customFormat="false" ht="15.75" hidden="false" customHeight="true" outlineLevel="0" collapsed="false">
      <c r="B48" s="19" t="s">
        <v>21</v>
      </c>
      <c r="C48" s="79" t="str">
        <f aca="false">OUTROS_BENEFICIOS_1_DESCRICAO</f>
        <v>Outros benefícios (Especificar)</v>
      </c>
      <c r="D48" s="79"/>
      <c r="E48" s="79"/>
      <c r="F48" s="113" t="n">
        <f aca="false">OUTROS_BENEFICIOS_1</f>
        <v>0</v>
      </c>
      <c r="H48" s="181"/>
      <c r="I48" s="181"/>
      <c r="J48" s="181"/>
      <c r="K48" s="181"/>
      <c r="L48" s="181"/>
      <c r="M48" s="181"/>
      <c r="N48" s="181"/>
    </row>
    <row r="49" customFormat="false" ht="15.75" hidden="false" customHeight="true" outlineLevel="0" collapsed="false">
      <c r="B49" s="19" t="s">
        <v>24</v>
      </c>
      <c r="C49" s="50" t="str">
        <f aca="false">OUTROS_BENEFICIOS_2_DESCRICAO</f>
        <v>Outros benefícios (Especificar)</v>
      </c>
      <c r="D49" s="50"/>
      <c r="E49" s="50"/>
      <c r="F49" s="115" t="n">
        <f aca="false">OUTROS_BENEFICIOS_2</f>
        <v>0</v>
      </c>
      <c r="L49" s="177"/>
      <c r="M49" s="177"/>
      <c r="N49" s="182"/>
    </row>
    <row r="50" customFormat="false" ht="16.5" hidden="false" customHeight="false" outlineLevel="0" collapsed="false">
      <c r="B50" s="19" t="s">
        <v>27</v>
      </c>
      <c r="C50" s="79" t="str">
        <f aca="false">OUTROS_BENEFICIOS_3_DESCRICAO</f>
        <v>Outros benefícios (Especificar)</v>
      </c>
      <c r="D50" s="79"/>
      <c r="E50" s="79"/>
      <c r="F50" s="113" t="n">
        <f aca="false">OUTROS_BENEFICIOS_3</f>
        <v>0</v>
      </c>
      <c r="L50" s="177"/>
      <c r="M50" s="177"/>
      <c r="N50" s="182"/>
    </row>
    <row r="51" s="54" customFormat="true" ht="16.5" hidden="false" customHeight="true" outlineLevel="0" collapsed="false">
      <c r="B51" s="48" t="s">
        <v>63</v>
      </c>
      <c r="C51" s="48"/>
      <c r="D51" s="48"/>
      <c r="E51" s="48"/>
      <c r="F51" s="150" t="n">
        <f aca="false">SUM(F46:F50)</f>
        <v>342.23</v>
      </c>
      <c r="H51" s="177"/>
      <c r="I51" s="177"/>
      <c r="J51" s="177"/>
      <c r="K51" s="177"/>
      <c r="L51" s="177"/>
      <c r="M51" s="177"/>
      <c r="N51" s="182"/>
    </row>
    <row r="52" s="54" customFormat="true" ht="16.5" hidden="false" customHeight="false" outlineLevel="0" collapsed="false">
      <c r="B52" s="46" t="s">
        <v>173</v>
      </c>
      <c r="C52" s="74"/>
      <c r="D52" s="75"/>
      <c r="E52" s="76"/>
      <c r="F52" s="76"/>
      <c r="H52" s="177"/>
      <c r="I52" s="177"/>
      <c r="J52" s="177"/>
      <c r="K52" s="177"/>
      <c r="L52" s="177"/>
      <c r="M52" s="177"/>
      <c r="N52" s="178"/>
    </row>
    <row r="53" s="54" customFormat="true" ht="16.5" hidden="false" customHeight="false" outlineLevel="0" collapsed="false">
      <c r="B53" s="21" t="n">
        <v>3</v>
      </c>
      <c r="C53" s="61" t="s">
        <v>174</v>
      </c>
      <c r="D53" s="61"/>
      <c r="E53" s="49" t="s">
        <v>92</v>
      </c>
      <c r="F53" s="49" t="s">
        <v>104</v>
      </c>
      <c r="H53" s="177"/>
      <c r="I53" s="177"/>
      <c r="J53" s="177"/>
      <c r="K53" s="177"/>
      <c r="L53" s="177"/>
      <c r="M53" s="177"/>
      <c r="N53" s="178"/>
    </row>
    <row r="54" s="54" customFormat="true" ht="16.5" hidden="false" customHeight="false" outlineLevel="0" collapsed="false">
      <c r="B54" s="21" t="s">
        <v>17</v>
      </c>
      <c r="C54" s="124" t="s">
        <v>208</v>
      </c>
      <c r="D54" s="124"/>
      <c r="E54" s="117" t="n">
        <f aca="false">PERC_AVISO_PREVIO_IND</f>
        <v>0.26011</v>
      </c>
      <c r="F54" s="113" t="n">
        <f aca="false">PERC_AVISO_PREVIO_IND%*(MOD_1_REMUNERACAO_SERV+SUBMOD_2_1_DEC_TERC_ADIC_FERIAS_SERV+AL_2_2_FGTS_SERV+SUBMOD_2_3_BENEFICIOS_SERV)</f>
        <v>4.688820893</v>
      </c>
      <c r="H54" s="177"/>
      <c r="I54" s="177"/>
      <c r="J54" s="177"/>
      <c r="K54" s="177"/>
      <c r="L54" s="177"/>
      <c r="M54" s="177"/>
      <c r="N54" s="178"/>
    </row>
    <row r="55" s="54" customFormat="true" ht="15" hidden="false" customHeight="true" outlineLevel="0" collapsed="false">
      <c r="B55" s="49" t="s">
        <v>19</v>
      </c>
      <c r="C55" s="125" t="s">
        <v>210</v>
      </c>
      <c r="D55" s="125"/>
      <c r="E55" s="126" t="n">
        <f aca="false">PERC_AVISO_PREVIO_TRAB</f>
        <v>1.03286322222222</v>
      </c>
      <c r="F55" s="115" t="n">
        <f aca="false">PERC_AVISO_PREVIO_TRAB%*(MOD_1_REMUNERACAO_SERV+SUBMOD_2_1_DEC_TERC_ADIC_FERIAS_SERV+SUBMOD_2_2_GPS_FGTS_SERV+SUBMOD_2_3_BENEFICIOS_SERV)</f>
        <v>22.6410848353666</v>
      </c>
      <c r="H55" s="177"/>
      <c r="I55" s="177"/>
      <c r="J55" s="177"/>
      <c r="K55" s="177"/>
      <c r="L55" s="177"/>
      <c r="M55" s="177"/>
      <c r="N55" s="178"/>
    </row>
    <row r="56" s="54" customFormat="true" ht="32.25" hidden="false" customHeight="true" outlineLevel="0" collapsed="false">
      <c r="B56" s="49" t="s">
        <v>21</v>
      </c>
      <c r="C56" s="124" t="s">
        <v>212</v>
      </c>
      <c r="D56" s="124"/>
      <c r="E56" s="117" t="n">
        <f aca="false">PERC_MULTA_FGTS_AV_PREV_TRAB</f>
        <v>0.04</v>
      </c>
      <c r="F56" s="113" t="n">
        <f aca="false">PERC_MULTA_FGTS_AV_PREV_TRAB%*(MOD_1_REMUNERACAO_SERV+SUBMOD_2_1_DEC_TERC_ADIC_FERIAS_SERV)</f>
        <v>0.540888888888889</v>
      </c>
      <c r="H56" s="177"/>
      <c r="I56" s="177"/>
      <c r="J56" s="177"/>
      <c r="K56" s="177"/>
      <c r="L56" s="177"/>
      <c r="M56" s="177"/>
      <c r="N56" s="178"/>
    </row>
    <row r="57" s="3" customFormat="true" ht="16.5" hidden="false" customHeight="false" outlineLevel="0" collapsed="false">
      <c r="B57" s="61" t="s">
        <v>63</v>
      </c>
      <c r="C57" s="61"/>
      <c r="D57" s="61"/>
      <c r="E57" s="61"/>
      <c r="F57" s="62" t="n">
        <f aca="false">SUM(F54:F56)</f>
        <v>27.8707946172555</v>
      </c>
      <c r="H57" s="177"/>
      <c r="I57" s="177"/>
      <c r="J57" s="177"/>
      <c r="K57" s="177"/>
      <c r="L57" s="177"/>
      <c r="M57" s="177"/>
      <c r="N57" s="178"/>
    </row>
    <row r="58" s="3" customFormat="true" ht="16.5" hidden="false" customHeight="false" outlineLevel="0" collapsed="false">
      <c r="B58" s="46" t="s">
        <v>88</v>
      </c>
      <c r="C58" s="74"/>
      <c r="D58" s="75"/>
      <c r="E58" s="1"/>
      <c r="F58" s="1"/>
      <c r="H58" s="177"/>
      <c r="I58" s="177"/>
      <c r="J58" s="177"/>
      <c r="K58" s="177"/>
      <c r="L58" s="177"/>
      <c r="M58" s="177"/>
      <c r="N58" s="178"/>
    </row>
    <row r="59" s="3" customFormat="true" ht="16.5" hidden="false" customHeight="false" outlineLevel="0" collapsed="false">
      <c r="B59" s="46" t="s">
        <v>89</v>
      </c>
      <c r="C59" s="74"/>
      <c r="D59" s="75"/>
      <c r="E59" s="76"/>
      <c r="F59" s="76"/>
      <c r="H59" s="183"/>
      <c r="I59" s="183"/>
      <c r="J59" s="183"/>
      <c r="K59" s="183"/>
      <c r="L59" s="177"/>
      <c r="M59" s="177"/>
      <c r="N59" s="178"/>
    </row>
    <row r="60" s="3" customFormat="true" ht="16.5" hidden="false" customHeight="true" outlineLevel="0" collapsed="false">
      <c r="B60" s="21" t="s">
        <v>90</v>
      </c>
      <c r="C60" s="48" t="s">
        <v>91</v>
      </c>
      <c r="D60" s="48"/>
      <c r="E60" s="49" t="s">
        <v>92</v>
      </c>
      <c r="F60" s="49" t="s">
        <v>104</v>
      </c>
      <c r="H60" s="183"/>
      <c r="I60" s="183"/>
      <c r="J60" s="183"/>
      <c r="K60" s="183"/>
      <c r="L60" s="177"/>
      <c r="M60" s="177"/>
      <c r="N60" s="178"/>
    </row>
    <row r="61" customFormat="false" ht="16.5" hidden="false" customHeight="true" outlineLevel="0" collapsed="false">
      <c r="B61" s="49" t="s">
        <v>17</v>
      </c>
      <c r="C61" s="59" t="s">
        <v>214</v>
      </c>
      <c r="D61" s="59"/>
      <c r="E61" s="117" t="n">
        <f aca="false">PERC_SUBSTITUTO_FERIAS</f>
        <v>8.33333333333333</v>
      </c>
      <c r="F61" s="113" t="n">
        <f aca="false">PERC_SUBSTITUTO_FERIAS%*(MOD_1_REMUNERACAO_SERV+MOD_2_ENCARGOS_BENEFICIOS_SERV+MOD_3_PROVISAO_RESCISAO_SERV)</f>
        <v>184.995066218105</v>
      </c>
      <c r="H61" s="183"/>
      <c r="I61" s="183"/>
      <c r="J61" s="183"/>
      <c r="K61" s="183"/>
      <c r="L61" s="177"/>
      <c r="M61" s="177"/>
    </row>
    <row r="62" s="3" customFormat="true" ht="15.95" hidden="false" customHeight="true" outlineLevel="0" collapsed="false">
      <c r="B62" s="49" t="s">
        <v>19</v>
      </c>
      <c r="C62" s="25" t="s">
        <v>216</v>
      </c>
      <c r="D62" s="25"/>
      <c r="E62" s="126" t="n">
        <f aca="false">PERC_SUBSTITUTO_AUSENCIAS_LEGAIS</f>
        <v>2.22222222222222</v>
      </c>
      <c r="F62" s="115" t="n">
        <f aca="false">PERC_SUBSTITUTO_AUSENCIAS_LEGAIS%*(MOD_1_REMUNERACAO_SERV+MOD_2_ENCARGOS_BENEFICIOS_SERV+MOD_3_PROVISAO_RESCISAO_SERV)</f>
        <v>49.3320176581612</v>
      </c>
      <c r="H62" s="183"/>
      <c r="I62" s="183"/>
      <c r="J62" s="183"/>
      <c r="K62" s="183"/>
      <c r="L62" s="177"/>
      <c r="M62" s="177"/>
      <c r="N62" s="178"/>
    </row>
    <row r="63" s="3" customFormat="true" ht="15.95" hidden="false" customHeight="true" outlineLevel="0" collapsed="false">
      <c r="B63" s="49" t="s">
        <v>21</v>
      </c>
      <c r="C63" s="59" t="s">
        <v>218</v>
      </c>
      <c r="D63" s="59"/>
      <c r="E63" s="117" t="n">
        <f aca="false">PERC_SUBSTITUTO_LICENCA_PATERNIDADE</f>
        <v>0.0356735555555555</v>
      </c>
      <c r="F63" s="113" t="n">
        <f aca="false">PERC_SUBSTITUTO_LICENCA_PATERNIDADE%*(MOD_1_REMUNERACAO_SERV+MOD_2_ENCARGOS_BENEFICIOS_SERV+MOD_3_PROVISAO_RESCISAO_SERV)</f>
        <v>0.791931812668227</v>
      </c>
      <c r="H63" s="183"/>
      <c r="I63" s="183"/>
      <c r="J63" s="183"/>
      <c r="K63" s="183"/>
      <c r="L63" s="177"/>
      <c r="M63" s="177"/>
      <c r="N63" s="183"/>
    </row>
    <row r="64" s="3" customFormat="true" ht="16.5" hidden="false" customHeight="true" outlineLevel="0" collapsed="false">
      <c r="B64" s="49" t="s">
        <v>24</v>
      </c>
      <c r="C64" s="25" t="s">
        <v>220</v>
      </c>
      <c r="D64" s="25"/>
      <c r="E64" s="126" t="n">
        <f aca="false">PERC_SUBSTITUTO_ACID_TRAB</f>
        <v>0.0185302229372558</v>
      </c>
      <c r="F64" s="115" t="n">
        <f aca="false">PERC_SUBSTITUTO_ACID_TRAB%*(MOD_1_REMUNERACAO_SERV+MOD_2_ENCARGOS_BENEFICIOS_SERV+MOD_3_PROVISAO_RESCISAO_SERV)</f>
        <v>0.411359978317665</v>
      </c>
      <c r="H64" s="183"/>
      <c r="I64" s="183"/>
      <c r="J64" s="183"/>
      <c r="K64" s="183"/>
      <c r="L64" s="177"/>
      <c r="M64" s="177"/>
      <c r="N64" s="183"/>
    </row>
    <row r="65" s="3" customFormat="true" ht="15.95" hidden="false" customHeight="true" outlineLevel="0" collapsed="false">
      <c r="B65" s="49" t="s">
        <v>27</v>
      </c>
      <c r="C65" s="59" t="s">
        <v>222</v>
      </c>
      <c r="D65" s="59"/>
      <c r="E65" s="117" t="n">
        <f aca="false">PERC_SUBSTITUTO_AFAST_MATERN</f>
        <v>0.1427260032</v>
      </c>
      <c r="F65" s="113" t="n">
        <f aca="false">PERC_SUBSTITUTO_AFAST_MATERN%*(MOD_1_REMUNERACAO_SERV+MOD_2_ENCARGOS_BENEFICIOS_SERV+MOD_3_PROVISAO_RESCISAO_SERV)</f>
        <v>3.16843276956353</v>
      </c>
      <c r="H65" s="183"/>
      <c r="I65" s="183"/>
      <c r="J65" s="183"/>
      <c r="K65" s="183"/>
      <c r="L65" s="177"/>
      <c r="M65" s="177"/>
      <c r="N65" s="183"/>
    </row>
    <row r="66" s="3" customFormat="true" ht="15.95" hidden="false" customHeight="true" outlineLevel="0" collapsed="false">
      <c r="B66" s="49" t="s">
        <v>86</v>
      </c>
      <c r="C66" s="153" t="str">
        <f aca="false">OUTRAS_AUSENCIAS_DESCRICAO</f>
        <v>Outras Ausências (Especificar em %)</v>
      </c>
      <c r="D66" s="153"/>
      <c r="E66" s="154" t="n">
        <f aca="false">PERC_SUBSTITUTO_OUTRAS_AUSENCIAS</f>
        <v>0</v>
      </c>
      <c r="F66" s="115" t="n">
        <f aca="false">PERC_SUBSTITUTO_OUTRAS_AUSENCIAS%*(MOD_1_REMUNERACAO_SERV+MOD_2_ENCARGOS_BENEFICIOS_SERV+MOD_3_PROVISAO_RESCISAO_SERV)</f>
        <v>0</v>
      </c>
      <c r="H66" s="183"/>
      <c r="I66" s="183"/>
      <c r="J66" s="183"/>
      <c r="K66" s="183"/>
      <c r="L66" s="177"/>
      <c r="M66" s="177"/>
      <c r="N66" s="183"/>
    </row>
    <row r="67" s="3" customFormat="true" ht="15.95" hidden="false" customHeight="true" outlineLevel="0" collapsed="false">
      <c r="B67" s="61" t="s">
        <v>63</v>
      </c>
      <c r="C67" s="61"/>
      <c r="D67" s="61"/>
      <c r="E67" s="61"/>
      <c r="F67" s="62" t="n">
        <f aca="false">SUM(F61:F66)</f>
        <v>238.698808436815</v>
      </c>
      <c r="H67" s="183"/>
      <c r="I67" s="183"/>
      <c r="J67" s="183"/>
      <c r="K67" s="183"/>
      <c r="L67" s="177"/>
      <c r="M67" s="177"/>
      <c r="N67" s="183"/>
    </row>
    <row r="68" s="3" customFormat="true" ht="16.5" hidden="false" customHeight="false" outlineLevel="0" collapsed="false">
      <c r="B68" s="46" t="s">
        <v>94</v>
      </c>
      <c r="C68" s="74"/>
      <c r="D68" s="75"/>
      <c r="E68" s="76"/>
      <c r="F68" s="76"/>
      <c r="H68" s="183"/>
      <c r="I68" s="183"/>
      <c r="J68" s="183"/>
      <c r="K68" s="183"/>
      <c r="L68" s="177"/>
      <c r="M68" s="177"/>
      <c r="N68" s="183"/>
    </row>
    <row r="69" s="3" customFormat="true" ht="16.5" hidden="false" customHeight="false" outlineLevel="0" collapsed="false">
      <c r="B69" s="21" t="s">
        <v>95</v>
      </c>
      <c r="C69" s="61" t="s">
        <v>96</v>
      </c>
      <c r="D69" s="61"/>
      <c r="E69" s="61"/>
      <c r="F69" s="49" t="s">
        <v>104</v>
      </c>
      <c r="H69" s="183"/>
      <c r="I69" s="183"/>
      <c r="J69" s="183"/>
      <c r="K69" s="183"/>
      <c r="L69" s="177"/>
      <c r="M69" s="177"/>
      <c r="N69" s="183"/>
    </row>
    <row r="70" s="3" customFormat="true" ht="16.5" hidden="false" customHeight="true" outlineLevel="0" collapsed="false">
      <c r="B70" s="21" t="s">
        <v>17</v>
      </c>
      <c r="C70" s="59" t="s">
        <v>236</v>
      </c>
      <c r="D70" s="59"/>
      <c r="E70" s="59"/>
      <c r="F70" s="148" t="n">
        <f aca="false">IF(DIAS_TRABALHADOS_NO_MES=15,((MOD_1_REMUNERACAO_SERV+MOD_2_ENCARGOS_BENEFICIOS_SERV+MOD_3_PROVISAO_RESCISAO_SERV)/DIVISOR_DE_HORAS)*((TEMPO_INTERVALO_REFEICAO/HORA_NORMAL)+PERC_HORA_EXTRA%)*DIAS_TRABALHADOS_NO_MES,0)</f>
        <v>0</v>
      </c>
      <c r="H70" s="183"/>
      <c r="I70" s="183"/>
      <c r="J70" s="183"/>
      <c r="K70" s="183"/>
      <c r="L70" s="177"/>
      <c r="M70" s="177"/>
      <c r="N70" s="183"/>
    </row>
    <row r="71" s="3" customFormat="true" ht="16.5" hidden="false" customHeight="false" outlineLevel="0" collapsed="false">
      <c r="B71" s="61" t="s">
        <v>63</v>
      </c>
      <c r="C71" s="61"/>
      <c r="D71" s="61"/>
      <c r="E71" s="61"/>
      <c r="F71" s="62" t="n">
        <f aca="false">SUM(F70)</f>
        <v>0</v>
      </c>
      <c r="H71" s="183"/>
      <c r="I71" s="183"/>
      <c r="J71" s="183"/>
      <c r="K71" s="183"/>
      <c r="L71" s="177"/>
      <c r="M71" s="177"/>
      <c r="N71" s="183"/>
    </row>
    <row r="72" s="3" customFormat="true" ht="16.5" hidden="false" customHeight="false" outlineLevel="0" collapsed="false">
      <c r="B72" s="46" t="s">
        <v>101</v>
      </c>
      <c r="C72" s="74"/>
      <c r="D72" s="74"/>
      <c r="E72" s="76"/>
      <c r="F72" s="76"/>
      <c r="H72" s="183"/>
      <c r="I72" s="183"/>
      <c r="J72" s="183"/>
      <c r="K72" s="183"/>
      <c r="L72" s="177"/>
      <c r="M72" s="177"/>
      <c r="N72" s="183"/>
    </row>
    <row r="73" s="3" customFormat="true" ht="16.5" hidden="false" customHeight="true" outlineLevel="0" collapsed="false">
      <c r="B73" s="80" t="n">
        <v>5</v>
      </c>
      <c r="C73" s="155" t="s">
        <v>103</v>
      </c>
      <c r="D73" s="155"/>
      <c r="E73" s="155"/>
      <c r="F73" s="156" t="s">
        <v>104</v>
      </c>
      <c r="H73" s="177"/>
      <c r="I73" s="177"/>
      <c r="J73" s="177"/>
      <c r="K73" s="177"/>
      <c r="L73" s="177"/>
      <c r="M73" s="177"/>
      <c r="N73" s="183"/>
    </row>
    <row r="74" s="3" customFormat="true" ht="16.5" hidden="false" customHeight="true" outlineLevel="0" collapsed="false">
      <c r="B74" s="157" t="s">
        <v>17</v>
      </c>
      <c r="C74" s="158" t="s">
        <v>237</v>
      </c>
      <c r="D74" s="158"/>
      <c r="E74" s="158"/>
      <c r="F74" s="159" t="n">
        <f aca="false">UNIFORMES!I14</f>
        <v>64.2841666666667</v>
      </c>
      <c r="H74" s="177"/>
      <c r="I74" s="177"/>
      <c r="J74" s="177"/>
      <c r="K74" s="177"/>
      <c r="L74" s="177"/>
      <c r="M74" s="177"/>
      <c r="N74" s="183"/>
    </row>
    <row r="75" customFormat="false" ht="16.5" hidden="false" customHeight="true" outlineLevel="0" collapsed="false">
      <c r="B75" s="157" t="s">
        <v>19</v>
      </c>
      <c r="C75" s="160" t="s">
        <v>238</v>
      </c>
      <c r="D75" s="160"/>
      <c r="E75" s="160"/>
      <c r="F75" s="161" t="n">
        <f aca="false">'MATERIAIS E EQUIPAMENTOS'!K44+'MATERIAIS E EQUIPAMENTOS'!K74</f>
        <v>972.919916666667</v>
      </c>
      <c r="L75" s="177"/>
      <c r="M75" s="177"/>
      <c r="N75" s="183"/>
    </row>
    <row r="76" customFormat="false" ht="16.5" hidden="false" customHeight="true" outlineLevel="0" collapsed="false">
      <c r="B76" s="157" t="s">
        <v>21</v>
      </c>
      <c r="C76" s="158" t="s">
        <v>239</v>
      </c>
      <c r="D76" s="158"/>
      <c r="E76" s="158"/>
      <c r="F76" s="159" t="n">
        <f aca="false">'MATERIAIS E EQUIPAMENTOS'!K96</f>
        <v>27.4301866666667</v>
      </c>
      <c r="L76" s="177"/>
      <c r="M76" s="177"/>
      <c r="N76" s="183"/>
    </row>
    <row r="77" customFormat="false" ht="15.75" hidden="false" customHeight="true" outlineLevel="0" collapsed="false">
      <c r="B77" s="157" t="s">
        <v>24</v>
      </c>
      <c r="C77" s="162" t="str">
        <f aca="false">ENCARREGADO!C77</f>
        <v>Outros Insumos</v>
      </c>
      <c r="D77" s="162"/>
      <c r="E77" s="162"/>
      <c r="F77" s="161" t="n">
        <v>0</v>
      </c>
      <c r="L77" s="177"/>
      <c r="M77" s="177"/>
      <c r="N77" s="177"/>
    </row>
    <row r="78" customFormat="false" ht="16.5" hidden="false" customHeight="true" outlineLevel="0" collapsed="false">
      <c r="B78" s="155" t="s">
        <v>63</v>
      </c>
      <c r="C78" s="155"/>
      <c r="D78" s="155"/>
      <c r="E78" s="155"/>
      <c r="F78" s="163" t="n">
        <f aca="false">SUM(F74:F77)</f>
        <v>1064.63427</v>
      </c>
      <c r="L78" s="177"/>
      <c r="M78" s="177"/>
    </row>
    <row r="79" customFormat="false" ht="16.5" hidden="false" customHeight="true" outlineLevel="0" collapsed="false">
      <c r="B79" s="57" t="s">
        <v>105</v>
      </c>
      <c r="C79" s="57"/>
      <c r="D79" s="57"/>
      <c r="E79" s="57"/>
      <c r="F79" s="57"/>
      <c r="L79" s="177"/>
      <c r="M79" s="177"/>
    </row>
    <row r="80" customFormat="false" ht="16.5" hidden="false" customHeight="false" outlineLevel="0" collapsed="false">
      <c r="B80" s="21" t="n">
        <v>6</v>
      </c>
      <c r="C80" s="61" t="s">
        <v>241</v>
      </c>
      <c r="D80" s="61"/>
      <c r="E80" s="49" t="s">
        <v>92</v>
      </c>
      <c r="F80" s="49" t="s">
        <v>104</v>
      </c>
      <c r="L80" s="177"/>
      <c r="M80" s="177"/>
    </row>
    <row r="81" customFormat="false" ht="16.5" hidden="false" customHeight="true" outlineLevel="0" collapsed="false">
      <c r="B81" s="21" t="s">
        <v>17</v>
      </c>
      <c r="C81" s="59" t="s">
        <v>111</v>
      </c>
      <c r="D81" s="59"/>
      <c r="E81" s="164" t="n">
        <f aca="false">'INSERÇÃO-DE-DADOS_MÃO DE OBRA'!E71</f>
        <v>4.73</v>
      </c>
      <c r="F81" s="113" t="n">
        <f aca="false">E81%*(MOD_1_REMUNERACAO_SERV+MOD_2_ENCARGOS_BENEFICIOS_SERV+MOD_3_PROVISAO_RESCISAO_SERV+MOD_4_CUSTO_REPOSICAO_SERV+MOD_5_INSUMOS_SERV)</f>
        <v>166.650854195458</v>
      </c>
      <c r="L81" s="177"/>
      <c r="M81" s="177"/>
    </row>
    <row r="82" customFormat="false" ht="16.5" hidden="false" customHeight="true" outlineLevel="0" collapsed="false">
      <c r="B82" s="49" t="s">
        <v>19</v>
      </c>
      <c r="C82" s="25" t="s">
        <v>112</v>
      </c>
      <c r="D82" s="25"/>
      <c r="E82" s="165" t="n">
        <f aca="false">'INSERÇÃO-DE-DADOS_MÃO DE OBRA'!E72</f>
        <v>5.57</v>
      </c>
      <c r="F82" s="115" t="n">
        <f aca="false">E82%*(MOD_1_REMUNERACAO_SERV+MOD_2_ENCARGOS_BENEFICIOS_SERV+MOD_3_PROVISAO_RESCISAO_SERV+MOD_4_CUSTO_REPOSICAO_SERV+MOD_5_INSUMOS_SERV+AL_6_A_CUSTOS_INDIRETOS_SERV)</f>
        <v>205.528807307799</v>
      </c>
      <c r="L82" s="177"/>
      <c r="M82" s="177"/>
    </row>
    <row r="83" customFormat="false" ht="15" hidden="false" customHeight="true" outlineLevel="0" collapsed="false">
      <c r="B83" s="49" t="s">
        <v>21</v>
      </c>
      <c r="C83" s="59" t="s">
        <v>242</v>
      </c>
      <c r="D83" s="59"/>
      <c r="E83" s="164" t="n">
        <f aca="false">SUM(E84:E86)</f>
        <v>8.65</v>
      </c>
      <c r="F83" s="113" t="n">
        <f aca="false">SUM(F84:F86)</f>
        <v>368.863416244345</v>
      </c>
      <c r="L83" s="177"/>
      <c r="M83" s="177"/>
    </row>
    <row r="84" customFormat="false" ht="16.5" hidden="false" customHeight="true" outlineLevel="0" collapsed="false">
      <c r="B84" s="87" t="s">
        <v>113</v>
      </c>
      <c r="C84" s="166" t="s">
        <v>114</v>
      </c>
      <c r="D84" s="166"/>
      <c r="E84" s="167" t="n">
        <f aca="false">'INSERÇÃO-DE-DADOS_MÃO DE OBRA'!E73</f>
        <v>0.65</v>
      </c>
      <c r="F84" s="168" t="n">
        <f aca="false">((MOD_1_REMUNERACAO_SERV+MOD_2_ENCARGOS_BENEFICIOS_SERV+MOD_3_PROVISAO_RESCISAO_SERV+MOD_4_CUSTO_REPOSICAO_SERV+MOD_5_INSUMOS_SERV+AL_6_A_CUSTOS_INDIRETOS_SERV+AL_6_B_LUCRO_SERV)*E84%)/(1-PERC_TRIBUTOS%)</f>
        <v>27.7180601802109</v>
      </c>
      <c r="L84" s="177"/>
      <c r="M84" s="177"/>
    </row>
    <row r="85" customFormat="false" ht="16.5" hidden="false" customHeight="true" outlineLevel="0" collapsed="false">
      <c r="B85" s="87" t="s">
        <v>115</v>
      </c>
      <c r="C85" s="169" t="s">
        <v>116</v>
      </c>
      <c r="D85" s="169"/>
      <c r="E85" s="170" t="n">
        <f aca="false">'INSERÇÃO-DE-DADOS_MÃO DE OBRA'!E74</f>
        <v>3</v>
      </c>
      <c r="F85" s="171" t="n">
        <f aca="false">((MOD_1_REMUNERACAO_SERV+MOD_2_ENCARGOS_BENEFICIOS_SERV+MOD_3_PROVISAO_RESCISAO_SERV+MOD_4_CUSTO_REPOSICAO_SERV+MOD_5_INSUMOS_SERV+AL_6_A_CUSTOS_INDIRETOS_SERV+AL_6_B_LUCRO_SERV)*E85%)/(1-PERC_TRIBUTOS%)</f>
        <v>127.92950852405</v>
      </c>
      <c r="L85" s="177"/>
      <c r="M85" s="177"/>
    </row>
    <row r="86" customFormat="false" ht="15.75" hidden="false" customHeight="true" outlineLevel="0" collapsed="false">
      <c r="B86" s="87" t="s">
        <v>117</v>
      </c>
      <c r="C86" s="166" t="s">
        <v>118</v>
      </c>
      <c r="D86" s="166"/>
      <c r="E86" s="167" t="n">
        <f aca="false">'INSERÇÃO-DE-DADOS_MÃO DE OBRA'!E75</f>
        <v>5</v>
      </c>
      <c r="F86" s="168" t="n">
        <f aca="false">((MOD_1_REMUNERACAO_SERV+MOD_2_ENCARGOS_BENEFICIOS_SERV+MOD_3_PROVISAO_RESCISAO_SERV+MOD_4_CUSTO_REPOSICAO_SERV+MOD_5_INSUMOS_SERV+AL_6_A_CUSTOS_INDIRETOS_SERV+AL_6_B_LUCRO_SERV)*E86%)/(1-PERC_TRIBUTOS%)</f>
        <v>213.215847540084</v>
      </c>
      <c r="L86" s="177"/>
      <c r="M86" s="177"/>
    </row>
    <row r="87" customFormat="false" ht="16.5" hidden="false" customHeight="false" outlineLevel="0" collapsed="false">
      <c r="B87" s="61" t="s">
        <v>63</v>
      </c>
      <c r="C87" s="61"/>
      <c r="D87" s="61"/>
      <c r="E87" s="61"/>
      <c r="F87" s="172" t="n">
        <f aca="false">AL_6_A_CUSTOS_INDIRETOS_SERV+AL_6_B_LUCRO_SERV+AL_6_C_TRIBUTOS_SERV</f>
        <v>741.043077747601</v>
      </c>
      <c r="L87" s="177"/>
      <c r="M87" s="177"/>
    </row>
    <row r="88" customFormat="false" ht="15.75" hidden="false" customHeight="true" outlineLevel="0" collapsed="false">
      <c r="B88" s="173" t="s">
        <v>243</v>
      </c>
      <c r="C88" s="174"/>
      <c r="D88" s="174"/>
      <c r="E88" s="174"/>
      <c r="F88" s="175"/>
      <c r="L88" s="177"/>
      <c r="M88" s="177"/>
    </row>
    <row r="89" customFormat="false" ht="16.5" hidden="false" customHeight="true" outlineLevel="0" collapsed="false">
      <c r="B89" s="49" t="s">
        <v>244</v>
      </c>
      <c r="C89" s="48" t="s">
        <v>245</v>
      </c>
      <c r="D89" s="48"/>
      <c r="E89" s="48"/>
      <c r="F89" s="49" t="s">
        <v>246</v>
      </c>
      <c r="L89" s="177"/>
      <c r="M89" s="177"/>
    </row>
    <row r="90" s="81" customFormat="true" ht="16.5" hidden="false" customHeight="true" outlineLevel="0" collapsed="false">
      <c r="B90" s="21" t="n">
        <v>1</v>
      </c>
      <c r="C90" s="59" t="s">
        <v>51</v>
      </c>
      <c r="D90" s="59"/>
      <c r="E90" s="59"/>
      <c r="F90" s="113" t="n">
        <f aca="false">MOD_1_REMUNERACAO_SERV</f>
        <v>1217</v>
      </c>
      <c r="G90" s="176"/>
      <c r="H90" s="177"/>
      <c r="I90" s="177"/>
      <c r="J90" s="177"/>
      <c r="K90" s="177"/>
      <c r="L90" s="177"/>
      <c r="M90" s="177"/>
      <c r="N90" s="178"/>
    </row>
    <row r="91" s="81" customFormat="true" ht="16.5" hidden="false" customHeight="true" outlineLevel="0" collapsed="false">
      <c r="B91" s="49" t="n">
        <v>2</v>
      </c>
      <c r="C91" s="25" t="s">
        <v>247</v>
      </c>
      <c r="D91" s="25"/>
      <c r="E91" s="25"/>
      <c r="F91" s="115" t="n">
        <f aca="false">MOD_2_ENCARGOS_BENEFICIOS_SERV</f>
        <v>975.07</v>
      </c>
      <c r="H91" s="177"/>
      <c r="I91" s="177"/>
      <c r="J91" s="177"/>
      <c r="K91" s="177"/>
      <c r="L91" s="177"/>
      <c r="M91" s="177"/>
      <c r="N91" s="178"/>
    </row>
    <row r="92" s="81" customFormat="true" ht="16.5" hidden="false" customHeight="true" outlineLevel="0" collapsed="false">
      <c r="B92" s="49" t="n">
        <v>3</v>
      </c>
      <c r="C92" s="59" t="s">
        <v>174</v>
      </c>
      <c r="D92" s="59"/>
      <c r="E92" s="59"/>
      <c r="F92" s="113" t="n">
        <f aca="false">MOD_3_PROVISAO_RESCISAO_SERV</f>
        <v>27.8707946172555</v>
      </c>
      <c r="H92" s="177"/>
      <c r="I92" s="177"/>
      <c r="J92" s="177"/>
      <c r="K92" s="177"/>
      <c r="L92" s="177"/>
      <c r="M92" s="177"/>
      <c r="N92" s="178"/>
    </row>
    <row r="93" s="83" customFormat="true" ht="16.5" hidden="false" customHeight="true" outlineLevel="0" collapsed="false">
      <c r="B93" s="49" t="n">
        <v>4</v>
      </c>
      <c r="C93" s="25" t="s">
        <v>248</v>
      </c>
      <c r="D93" s="25"/>
      <c r="E93" s="25"/>
      <c r="F93" s="115" t="n">
        <f aca="false">MOD_4_CUSTO_REPOSICAO_SERV</f>
        <v>238.698808436815</v>
      </c>
      <c r="H93" s="177"/>
      <c r="I93" s="177"/>
      <c r="J93" s="177"/>
      <c r="K93" s="177"/>
      <c r="L93" s="177"/>
      <c r="M93" s="177"/>
      <c r="N93" s="178"/>
    </row>
    <row r="94" s="81" customFormat="true" ht="16.5" hidden="false" customHeight="true" outlineLevel="0" collapsed="false">
      <c r="B94" s="49" t="n">
        <v>5</v>
      </c>
      <c r="C94" s="59" t="s">
        <v>103</v>
      </c>
      <c r="D94" s="59"/>
      <c r="E94" s="59"/>
      <c r="F94" s="113" t="n">
        <f aca="false">MOD_5_INSUMOS_SERV</f>
        <v>1064.63427</v>
      </c>
      <c r="H94" s="177"/>
      <c r="I94" s="177"/>
      <c r="J94" s="177"/>
      <c r="K94" s="177"/>
      <c r="L94" s="177"/>
      <c r="M94" s="177"/>
      <c r="N94" s="178"/>
    </row>
    <row r="95" s="82" customFormat="true" ht="16.5" hidden="false" customHeight="true" outlineLevel="0" collapsed="false">
      <c r="B95" s="49" t="n">
        <v>6</v>
      </c>
      <c r="C95" s="25" t="s">
        <v>241</v>
      </c>
      <c r="D95" s="25"/>
      <c r="E95" s="25"/>
      <c r="F95" s="115" t="n">
        <f aca="false">MOD_6_CUSTOS_IND_LUCRO_TRIB_SERV</f>
        <v>741.043077747601</v>
      </c>
      <c r="H95" s="177"/>
      <c r="I95" s="177"/>
      <c r="J95" s="177"/>
      <c r="K95" s="177"/>
      <c r="L95" s="177"/>
      <c r="M95" s="177"/>
      <c r="N95" s="178"/>
    </row>
    <row r="96" s="82" customFormat="true" ht="16.5" hidden="false" customHeight="true" outlineLevel="0" collapsed="false">
      <c r="B96" s="48" t="s">
        <v>252</v>
      </c>
      <c r="C96" s="48"/>
      <c r="D96" s="48"/>
      <c r="E96" s="48"/>
      <c r="F96" s="172" t="n">
        <f aca="false">SUM(F90:F95)</f>
        <v>4264.31695080167</v>
      </c>
      <c r="H96" s="177"/>
      <c r="I96" s="177"/>
      <c r="J96" s="177"/>
      <c r="K96" s="177"/>
      <c r="L96" s="177"/>
      <c r="M96" s="177"/>
      <c r="N96" s="178"/>
    </row>
    <row r="97" s="82" customFormat="true" ht="16.5" hidden="false" customHeight="false" outlineLevel="0" collapsed="false">
      <c r="B97" s="1"/>
      <c r="C97" s="1"/>
      <c r="D97" s="1"/>
      <c r="E97" s="1"/>
      <c r="F97" s="1"/>
      <c r="H97" s="177"/>
      <c r="I97" s="177"/>
      <c r="J97" s="177"/>
      <c r="K97" s="177"/>
      <c r="L97" s="177"/>
      <c r="M97" s="177"/>
      <c r="N97" s="178"/>
    </row>
    <row r="98" customFormat="false" ht="16.5" hidden="false" customHeight="true" outlineLevel="0" collapsed="false">
      <c r="L98" s="177"/>
      <c r="M98" s="177"/>
    </row>
    <row r="99" customFormat="false" ht="16.5" hidden="false" customHeight="true" outlineLevel="0" collapsed="false">
      <c r="L99" s="177"/>
      <c r="M99" s="177"/>
    </row>
    <row r="100" customFormat="false" ht="16.5" hidden="false" customHeight="false" outlineLevel="0" collapsed="false">
      <c r="L100" s="177"/>
      <c r="M100" s="177"/>
    </row>
    <row r="101" customFormat="false" ht="16.5" hidden="false" customHeight="false" outlineLevel="0" collapsed="false">
      <c r="L101" s="177"/>
      <c r="M101" s="177"/>
    </row>
    <row r="102" customFormat="false" ht="16.5" hidden="false" customHeight="false" outlineLevel="0" collapsed="false">
      <c r="L102" s="177"/>
      <c r="M102" s="177"/>
    </row>
    <row r="103" customFormat="false" ht="16.5" hidden="false" customHeight="false" outlineLevel="0" collapsed="false">
      <c r="L103" s="177"/>
      <c r="M103" s="177"/>
    </row>
    <row r="104" customFormat="false" ht="16.5" hidden="false" customHeight="false" outlineLevel="0" collapsed="false">
      <c r="L104" s="177"/>
      <c r="M104" s="177"/>
    </row>
    <row r="105" customFormat="false" ht="16.5" hidden="false" customHeight="false" outlineLevel="0" collapsed="false">
      <c r="L105" s="177"/>
      <c r="M105" s="177"/>
    </row>
    <row r="106" customFormat="false" ht="16.5" hidden="false" customHeight="false" outlineLevel="0" collapsed="false">
      <c r="L106" s="177"/>
      <c r="M106" s="177"/>
      <c r="N106" s="177"/>
    </row>
    <row r="107" customFormat="false" ht="16.5" hidden="false" customHeight="false" outlineLevel="0" collapsed="false">
      <c r="L107" s="177"/>
      <c r="M107" s="177"/>
      <c r="N107" s="177"/>
    </row>
    <row r="108" customFormat="false" ht="16.5" hidden="false" customHeight="false" outlineLevel="0" collapsed="false">
      <c r="L108" s="177"/>
      <c r="M108" s="177"/>
      <c r="N108" s="177"/>
    </row>
    <row r="109" customFormat="false" ht="16.5" hidden="false" customHeight="false" outlineLevel="0" collapsed="false">
      <c r="L109" s="177"/>
      <c r="M109" s="177"/>
      <c r="N109" s="177"/>
    </row>
    <row r="110" customFormat="false" ht="16.5" hidden="false" customHeight="false" outlineLevel="0" collapsed="false">
      <c r="L110" s="177"/>
      <c r="M110" s="177"/>
      <c r="N110" s="177"/>
    </row>
    <row r="111" customFormat="false" ht="16.5" hidden="false" customHeight="false" outlineLevel="0" collapsed="false">
      <c r="L111" s="177"/>
      <c r="M111" s="177"/>
      <c r="N111" s="177"/>
    </row>
    <row r="112" customFormat="false" ht="16.5" hidden="false" customHeight="false" outlineLevel="0" collapsed="false">
      <c r="L112" s="177"/>
      <c r="M112" s="177"/>
      <c r="N112" s="177"/>
    </row>
    <row r="113" customFormat="false" ht="16.5" hidden="false" customHeight="false" outlineLevel="0" collapsed="false">
      <c r="H113" s="184"/>
      <c r="I113" s="184"/>
      <c r="J113" s="184"/>
      <c r="K113" s="184"/>
      <c r="L113" s="184"/>
      <c r="M113" s="184"/>
      <c r="N113" s="184"/>
    </row>
    <row r="114" customFormat="false" ht="16.5" hidden="false" customHeight="false" outlineLevel="0" collapsed="false">
      <c r="H114" s="184"/>
      <c r="I114" s="184"/>
      <c r="J114" s="184"/>
      <c r="K114" s="184"/>
      <c r="L114" s="184"/>
      <c r="M114" s="184"/>
      <c r="N114" s="184"/>
    </row>
    <row r="115" customFormat="false" ht="16.5" hidden="false" customHeight="false" outlineLevel="0" collapsed="false">
      <c r="H115" s="184"/>
      <c r="I115" s="184"/>
      <c r="J115" s="184"/>
      <c r="K115" s="184"/>
      <c r="L115" s="184"/>
      <c r="M115" s="184"/>
      <c r="N115" s="184"/>
    </row>
    <row r="116" customFormat="false" ht="16.5" hidden="false" customHeight="false" outlineLevel="0" collapsed="false">
      <c r="H116" s="184"/>
      <c r="I116" s="184"/>
      <c r="J116" s="184"/>
      <c r="K116" s="184"/>
      <c r="L116" s="184"/>
      <c r="M116" s="184"/>
      <c r="N116" s="184"/>
    </row>
    <row r="117" customFormat="false" ht="16.5" hidden="false" customHeight="false" outlineLevel="0" collapsed="false">
      <c r="H117" s="184"/>
      <c r="I117" s="184"/>
      <c r="J117" s="184"/>
      <c r="K117" s="184"/>
      <c r="L117" s="184"/>
      <c r="M117" s="184"/>
      <c r="N117" s="184"/>
    </row>
    <row r="118" customFormat="false" ht="16.5" hidden="false" customHeight="false" outlineLevel="0" collapsed="false">
      <c r="H118" s="185"/>
      <c r="I118" s="185"/>
      <c r="J118" s="185"/>
      <c r="K118" s="185"/>
      <c r="L118" s="185"/>
      <c r="M118" s="185"/>
      <c r="N118" s="185"/>
    </row>
    <row r="119" customFormat="false" ht="16.5" hidden="false" customHeight="false" outlineLevel="0" collapsed="false">
      <c r="H119" s="184"/>
      <c r="I119" s="184"/>
      <c r="J119" s="184"/>
      <c r="K119" s="184"/>
      <c r="L119" s="184"/>
      <c r="M119" s="184"/>
      <c r="N119" s="184"/>
    </row>
    <row r="120" customFormat="false" ht="16.5" hidden="false" customHeight="false" outlineLevel="0" collapsed="false">
      <c r="H120" s="127"/>
      <c r="I120" s="127"/>
      <c r="J120" s="127"/>
      <c r="K120" s="127"/>
      <c r="L120" s="127"/>
      <c r="M120" s="127"/>
      <c r="N120" s="127"/>
    </row>
    <row r="121" customFormat="false" ht="16.5" hidden="false" customHeight="false" outlineLevel="0" collapsed="false">
      <c r="H121" s="127"/>
      <c r="I121" s="127"/>
      <c r="J121" s="127"/>
      <c r="K121" s="127"/>
      <c r="L121" s="127"/>
      <c r="M121" s="127"/>
      <c r="N121" s="127"/>
    </row>
    <row r="122" customFormat="false" ht="16.5" hidden="false" customHeight="false" outlineLevel="0" collapsed="false">
      <c r="H122" s="127"/>
      <c r="I122" s="127"/>
      <c r="J122" s="127"/>
      <c r="K122" s="127"/>
      <c r="L122" s="127"/>
      <c r="M122" s="127"/>
      <c r="N122" s="127"/>
    </row>
    <row r="123" customFormat="false" ht="16.5" hidden="false" customHeight="false" outlineLevel="0" collapsed="false">
      <c r="H123" s="127"/>
      <c r="I123" s="127"/>
      <c r="J123" s="127"/>
      <c r="K123" s="127"/>
      <c r="L123" s="127"/>
      <c r="M123" s="127"/>
      <c r="N123" s="127"/>
    </row>
    <row r="124" customFormat="false" ht="16.5" hidden="false" customHeight="false" outlineLevel="0" collapsed="false">
      <c r="H124" s="127"/>
      <c r="I124" s="127"/>
      <c r="J124" s="127"/>
      <c r="K124" s="127"/>
      <c r="L124" s="127"/>
      <c r="M124" s="127"/>
      <c r="N124" s="127"/>
    </row>
    <row r="125" customFormat="false" ht="16.5" hidden="false" customHeight="false" outlineLevel="0" collapsed="false">
      <c r="L125" s="177"/>
      <c r="M125" s="177"/>
      <c r="N125" s="177"/>
    </row>
    <row r="126" customFormat="false" ht="16.5" hidden="false" customHeight="false" outlineLevel="0" collapsed="false">
      <c r="L126" s="177"/>
      <c r="M126" s="177"/>
      <c r="N126" s="177"/>
    </row>
    <row r="127" customFormat="false" ht="16.5" hidden="false" customHeight="false" outlineLevel="0" collapsed="false">
      <c r="L127" s="177"/>
      <c r="M127" s="177"/>
      <c r="N127" s="177"/>
    </row>
    <row r="128" customFormat="false" ht="16.5" hidden="false" customHeight="false" outlineLevel="0" collapsed="false">
      <c r="L128" s="177"/>
      <c r="M128" s="177"/>
      <c r="N128" s="177"/>
    </row>
    <row r="129" customFormat="false" ht="16.5" hidden="false" customHeight="false" outlineLevel="0" collapsed="false">
      <c r="L129" s="177"/>
      <c r="M129" s="177"/>
      <c r="N129" s="177"/>
    </row>
    <row r="130" customFormat="false" ht="16.5" hidden="false" customHeight="false" outlineLevel="0" collapsed="false">
      <c r="L130" s="177"/>
      <c r="M130" s="177"/>
      <c r="N130" s="177"/>
    </row>
    <row r="131" customFormat="false" ht="16.5" hidden="false" customHeight="false" outlineLevel="0" collapsed="false">
      <c r="L131" s="177"/>
      <c r="M131" s="177"/>
      <c r="N131" s="177"/>
    </row>
    <row r="141" customFormat="false" ht="16.5" hidden="false" customHeight="false" outlineLevel="0" collapsed="false">
      <c r="H141" s="178"/>
      <c r="I141" s="178"/>
      <c r="J141" s="178"/>
      <c r="K141" s="178"/>
    </row>
    <row r="142" customFormat="false" ht="16.5" hidden="false" customHeight="false" outlineLevel="0" collapsed="false">
      <c r="H142" s="178"/>
      <c r="I142" s="178"/>
      <c r="J142" s="178"/>
      <c r="K142" s="178"/>
    </row>
    <row r="143" customFormat="false" ht="16.5" hidden="false" customHeight="false" outlineLevel="0" collapsed="false">
      <c r="H143" s="178"/>
      <c r="I143" s="178"/>
      <c r="J143" s="178"/>
      <c r="K143" s="178"/>
    </row>
    <row r="144" customFormat="false" ht="16.5" hidden="false" customHeight="false" outlineLevel="0" collapsed="false">
      <c r="H144" s="178"/>
      <c r="I144" s="178"/>
      <c r="J144" s="178"/>
      <c r="K144" s="178"/>
    </row>
    <row r="145" customFormat="false" ht="16.5" hidden="false" customHeight="false" outlineLevel="0" collapsed="false">
      <c r="H145" s="178"/>
      <c r="I145" s="178"/>
      <c r="J145" s="178"/>
      <c r="K145" s="178"/>
    </row>
    <row r="146" customFormat="false" ht="16.5" hidden="false" customHeight="false" outlineLevel="0" collapsed="false">
      <c r="H146" s="178"/>
      <c r="I146" s="178"/>
      <c r="J146" s="178"/>
      <c r="K146" s="178"/>
    </row>
    <row r="147" customFormat="false" ht="16.5" hidden="false" customHeight="false" outlineLevel="0" collapsed="false">
      <c r="H147" s="178"/>
      <c r="I147" s="178"/>
      <c r="J147" s="178"/>
      <c r="K147" s="178"/>
    </row>
    <row r="148" customFormat="false" ht="16.5" hidden="false" customHeight="false" outlineLevel="0" collapsed="false">
      <c r="H148" s="178"/>
      <c r="I148" s="178"/>
      <c r="J148" s="178"/>
      <c r="K148" s="178"/>
    </row>
    <row r="149" customFormat="false" ht="16.5" hidden="false" customHeight="false" outlineLevel="0" collapsed="false">
      <c r="H149" s="178"/>
      <c r="I149" s="178"/>
      <c r="J149" s="178"/>
      <c r="K149" s="178"/>
    </row>
    <row r="150" customFormat="false" ht="16.5" hidden="false" customHeight="false" outlineLevel="0" collapsed="false">
      <c r="H150" s="178"/>
      <c r="I150" s="178"/>
      <c r="J150" s="178"/>
      <c r="K150" s="178"/>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8">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B57:E57"/>
    <mergeCell ref="C60:D60"/>
    <mergeCell ref="C61:D61"/>
    <mergeCell ref="C62:D62"/>
    <mergeCell ref="C63:D63"/>
    <mergeCell ref="C64:D64"/>
    <mergeCell ref="C65:D65"/>
    <mergeCell ref="C66:D66"/>
    <mergeCell ref="B67:E67"/>
    <mergeCell ref="C69:E69"/>
    <mergeCell ref="C70:E70"/>
    <mergeCell ref="B71:E71"/>
    <mergeCell ref="C73:E73"/>
    <mergeCell ref="C74:E74"/>
    <mergeCell ref="C75:E75"/>
    <mergeCell ref="C76:E76"/>
    <mergeCell ref="C77:E77"/>
    <mergeCell ref="B78:E78"/>
    <mergeCell ref="B79:F79"/>
    <mergeCell ref="C80:D80"/>
    <mergeCell ref="C81:D81"/>
    <mergeCell ref="C82:D82"/>
    <mergeCell ref="C83:D83"/>
    <mergeCell ref="C84:D84"/>
    <mergeCell ref="C85:D85"/>
    <mergeCell ref="C86:D86"/>
    <mergeCell ref="B87:E87"/>
    <mergeCell ref="C89:E89"/>
    <mergeCell ref="C90:E90"/>
    <mergeCell ref="C91:E91"/>
    <mergeCell ref="C92:E92"/>
    <mergeCell ref="C93:E93"/>
    <mergeCell ref="C94:E94"/>
    <mergeCell ref="C95:E95"/>
    <mergeCell ref="B96:E96"/>
  </mergeCells>
  <printOptions headings="false" gridLines="false" gridLinesSet="true" horizontalCentered="true" verticalCentered="false"/>
  <pageMargins left="0.0798611111111111" right="0.05" top="0.196527777777778" bottom="0.157638888888889" header="0.511805555555555" footer="0.511805555555555"/>
  <pageSetup paperSize="9" scale="8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I56"/>
  <sheetViews>
    <sheetView showFormulas="false" showGridLines="true" showRowColHeaders="true" showZeros="true" rightToLeft="false" tabSelected="false" showOutlineSymbols="true" defaultGridColor="true" view="normal" topLeftCell="C16" colorId="64" zoomScale="80" zoomScaleNormal="80" zoomScalePageLayoutView="100" workbookViewId="0">
      <selection pane="topLeft" activeCell="I38" activeCellId="0" sqref="I38"/>
    </sheetView>
  </sheetViews>
  <sheetFormatPr defaultRowHeight="16.5" zeroHeight="false" outlineLevelRow="0" outlineLevelCol="0"/>
  <cols>
    <col collapsed="false" customWidth="true" hidden="false" outlineLevel="0" max="1" min="1" style="182" width="1.12"/>
    <col collapsed="false" customWidth="true" hidden="false" outlineLevel="0" max="2" min="2" style="177" width="20.71"/>
    <col collapsed="false" customWidth="true" hidden="false" outlineLevel="0" max="3" min="3" style="127" width="20.42"/>
    <col collapsed="false" customWidth="true" hidden="false" outlineLevel="0" max="4" min="4" style="177" width="18.58"/>
    <col collapsed="false" customWidth="true" hidden="false" outlineLevel="0" max="5" min="5" style="177" width="17.4"/>
    <col collapsed="false" customWidth="true" hidden="false" outlineLevel="0" max="6" min="6" style="177" width="19"/>
    <col collapsed="false" customWidth="true" hidden="false" outlineLevel="0" max="7" min="7" style="178" width="17.71"/>
    <col collapsed="false" customWidth="true" hidden="false" outlineLevel="0" max="8" min="8" style="178" width="18.85"/>
    <col collapsed="false" customWidth="true" hidden="false" outlineLevel="0" max="9" min="9" style="178" width="17.29"/>
    <col collapsed="false" customWidth="true" hidden="false" outlineLevel="0" max="257" min="10" style="182" width="9.13"/>
    <col collapsed="false" customWidth="true" hidden="false" outlineLevel="0" max="258" min="258" style="182" width="1.12"/>
    <col collapsed="false" customWidth="true" hidden="false" outlineLevel="0" max="259" min="259" style="182" width="20.71"/>
    <col collapsed="false" customWidth="true" hidden="false" outlineLevel="0" max="260" min="260" style="182" width="23.42"/>
    <col collapsed="false" customWidth="true" hidden="false" outlineLevel="0" max="261" min="261" style="182" width="20.57"/>
    <col collapsed="false" customWidth="true" hidden="false" outlineLevel="0" max="262" min="262" style="182" width="19.99"/>
    <col collapsed="false" customWidth="true" hidden="false" outlineLevel="0" max="263" min="263" style="182" width="23.15"/>
    <col collapsed="false" customWidth="true" hidden="false" outlineLevel="0" max="264" min="264" style="182" width="13.57"/>
    <col collapsed="false" customWidth="true" hidden="false" outlineLevel="0" max="265" min="265" style="182" width="17.29"/>
    <col collapsed="false" customWidth="true" hidden="false" outlineLevel="0" max="513" min="266" style="182" width="9.13"/>
    <col collapsed="false" customWidth="true" hidden="false" outlineLevel="0" max="514" min="514" style="182" width="1.12"/>
    <col collapsed="false" customWidth="true" hidden="false" outlineLevel="0" max="515" min="515" style="182" width="20.71"/>
    <col collapsed="false" customWidth="true" hidden="false" outlineLevel="0" max="516" min="516" style="182" width="23.42"/>
    <col collapsed="false" customWidth="true" hidden="false" outlineLevel="0" max="517" min="517" style="182" width="20.57"/>
    <col collapsed="false" customWidth="true" hidden="false" outlineLevel="0" max="518" min="518" style="182" width="19.99"/>
    <col collapsed="false" customWidth="true" hidden="false" outlineLevel="0" max="519" min="519" style="182" width="23.15"/>
    <col collapsed="false" customWidth="true" hidden="false" outlineLevel="0" max="520" min="520" style="182" width="13.57"/>
    <col collapsed="false" customWidth="true" hidden="false" outlineLevel="0" max="521" min="521" style="182" width="17.29"/>
    <col collapsed="false" customWidth="true" hidden="false" outlineLevel="0" max="769" min="522" style="182" width="9.13"/>
    <col collapsed="false" customWidth="true" hidden="false" outlineLevel="0" max="770" min="770" style="182" width="1.12"/>
    <col collapsed="false" customWidth="true" hidden="false" outlineLevel="0" max="771" min="771" style="182" width="20.71"/>
    <col collapsed="false" customWidth="true" hidden="false" outlineLevel="0" max="772" min="772" style="182" width="23.42"/>
    <col collapsed="false" customWidth="true" hidden="false" outlineLevel="0" max="773" min="773" style="182" width="20.57"/>
    <col collapsed="false" customWidth="true" hidden="false" outlineLevel="0" max="774" min="774" style="182" width="19.99"/>
    <col collapsed="false" customWidth="true" hidden="false" outlineLevel="0" max="775" min="775" style="182" width="23.15"/>
    <col collapsed="false" customWidth="true" hidden="false" outlineLevel="0" max="776" min="776" style="182" width="13.57"/>
    <col collapsed="false" customWidth="true" hidden="false" outlineLevel="0" max="777" min="777" style="182" width="17.29"/>
    <col collapsed="false" customWidth="true" hidden="false" outlineLevel="0" max="1025" min="778" style="182" width="9.13"/>
  </cols>
  <sheetData>
    <row r="1" s="186" customFormat="true" ht="20.25" hidden="false" customHeight="false" outlineLevel="0" collapsed="false">
      <c r="B1" s="187" t="str">
        <f aca="false">RAMO</f>
        <v>RAMO: MINISTÉRIO PÚBLICO FEDERAL</v>
      </c>
      <c r="C1" s="187"/>
      <c r="D1" s="187"/>
      <c r="E1" s="187"/>
      <c r="F1" s="187"/>
      <c r="G1" s="187"/>
      <c r="H1" s="187"/>
      <c r="I1" s="187"/>
    </row>
    <row r="2" s="186" customFormat="true" ht="20.25" hidden="false" customHeight="false" outlineLevel="0" collapsed="false">
      <c r="B2" s="188" t="str">
        <f aca="false">UG</f>
        <v>UNIDADE GESTORA (SIGLA): PRMS</v>
      </c>
      <c r="C2" s="188"/>
      <c r="D2" s="188"/>
      <c r="E2" s="188"/>
      <c r="F2" s="188"/>
      <c r="G2" s="188"/>
      <c r="H2" s="130" t="s">
        <v>2</v>
      </c>
      <c r="I2" s="131" t="n">
        <f aca="false">IF(DATA_DO_ORCAMENTO_ESTIMATIVO="","",DATA_DO_ORCAMENTO_ESTIMATIVO)</f>
        <v>44915</v>
      </c>
    </row>
    <row r="3" customFormat="false" ht="9" hidden="false" customHeight="true" outlineLevel="0" collapsed="false"/>
    <row r="4" customFormat="false" ht="20.25" hidden="false" customHeight="false" outlineLevel="0" collapsed="false">
      <c r="B4" s="189" t="s">
        <v>253</v>
      </c>
      <c r="C4" s="189"/>
      <c r="D4" s="189"/>
      <c r="E4" s="189"/>
      <c r="F4" s="189"/>
      <c r="G4" s="189"/>
      <c r="H4" s="189"/>
      <c r="I4" s="189"/>
    </row>
    <row r="5" customFormat="false" ht="15" hidden="false" customHeight="true" outlineLevel="0" collapsed="false">
      <c r="B5" s="190" t="s">
        <v>254</v>
      </c>
      <c r="C5" s="190"/>
      <c r="D5" s="190"/>
      <c r="E5" s="190"/>
      <c r="F5" s="190"/>
      <c r="G5" s="190"/>
      <c r="H5" s="190"/>
      <c r="I5" s="190"/>
    </row>
    <row r="6" s="191" customFormat="true" ht="10.5" hidden="false" customHeight="true" outlineLevel="0" collapsed="false">
      <c r="B6" s="192"/>
      <c r="C6" s="193"/>
      <c r="D6" s="192"/>
      <c r="E6" s="192"/>
      <c r="F6" s="192"/>
      <c r="G6" s="192"/>
      <c r="H6" s="192"/>
      <c r="I6" s="192"/>
    </row>
    <row r="7" customFormat="false" ht="15" hidden="false" customHeight="true" outlineLevel="0" collapsed="false">
      <c r="B7" s="190" t="s">
        <v>297</v>
      </c>
      <c r="C7" s="190"/>
      <c r="D7" s="190"/>
      <c r="E7" s="190"/>
      <c r="F7" s="190"/>
      <c r="G7" s="190"/>
      <c r="H7" s="190"/>
      <c r="I7" s="190"/>
    </row>
    <row r="8" customFormat="false" ht="14.25" hidden="false" customHeight="true" outlineLevel="0" collapsed="false">
      <c r="B8" s="194" t="s">
        <v>256</v>
      </c>
      <c r="C8" s="194"/>
      <c r="D8" s="194"/>
      <c r="E8" s="194"/>
      <c r="F8" s="194"/>
      <c r="G8" s="194"/>
      <c r="H8" s="194"/>
      <c r="I8" s="194"/>
    </row>
    <row r="9" customFormat="false" ht="15.75" hidden="false" customHeight="true" outlineLevel="0" collapsed="false">
      <c r="B9" s="194"/>
      <c r="C9" s="194"/>
      <c r="D9" s="194"/>
      <c r="E9" s="194"/>
      <c r="F9" s="194"/>
      <c r="G9" s="194"/>
      <c r="H9" s="194"/>
      <c r="I9" s="194"/>
    </row>
    <row r="10" customFormat="false" ht="12.75" hidden="false" customHeight="true" outlineLevel="0" collapsed="false">
      <c r="A10" s="195"/>
      <c r="B10" s="21" t="s">
        <v>257</v>
      </c>
      <c r="C10" s="49" t="s">
        <v>258</v>
      </c>
      <c r="D10" s="49" t="s">
        <v>259</v>
      </c>
      <c r="E10" s="49" t="s">
        <v>260</v>
      </c>
      <c r="F10" s="49" t="s">
        <v>261</v>
      </c>
      <c r="G10" s="196"/>
      <c r="I10" s="182"/>
    </row>
    <row r="11" customFormat="false" ht="21" hidden="false" customHeight="true" outlineLevel="0" collapsed="false">
      <c r="A11" s="195"/>
      <c r="B11" s="21"/>
      <c r="C11" s="49"/>
      <c r="D11" s="49"/>
      <c r="E11" s="49"/>
      <c r="F11" s="49"/>
      <c r="G11" s="196"/>
      <c r="I11" s="182"/>
    </row>
    <row r="12" customFormat="false" ht="16.5" hidden="false" customHeight="false" outlineLevel="0" collapsed="false">
      <c r="A12" s="195"/>
      <c r="B12" s="97" t="s">
        <v>264</v>
      </c>
      <c r="C12" s="101" t="s">
        <v>263</v>
      </c>
      <c r="D12" s="198" t="n">
        <f aca="false">1/'INSERÇÃO-DE-DADOS_PRODUTIVIDADE'!I9</f>
        <v>0.00125</v>
      </c>
      <c r="E12" s="199" t="n">
        <f aca="false">'SERVENTE DOU'!F96</f>
        <v>4264.31695080167</v>
      </c>
      <c r="F12" s="200" t="n">
        <f aca="false">D12*E12</f>
        <v>5.33039618850209</v>
      </c>
      <c r="G12" s="196"/>
      <c r="I12" s="182"/>
    </row>
    <row r="13" customFormat="false" ht="16.5" hidden="false" customHeight="false" outlineLevel="0" collapsed="false">
      <c r="A13" s="195"/>
      <c r="B13" s="97" t="s">
        <v>264</v>
      </c>
      <c r="C13" s="101" t="s">
        <v>266</v>
      </c>
      <c r="D13" s="198" t="n">
        <f aca="false">1/'INSERÇÃO-DE-DADOS_PRODUTIVIDADE'!I10</f>
        <v>0.000666666666666667</v>
      </c>
      <c r="E13" s="199" t="n">
        <f aca="false">'SERVENTE DOU'!F96</f>
        <v>4264.31695080167</v>
      </c>
      <c r="F13" s="200" t="n">
        <f aca="false">D13*E13</f>
        <v>2.84287796720112</v>
      </c>
      <c r="G13" s="196"/>
      <c r="I13" s="182"/>
    </row>
    <row r="14" customFormat="false" ht="16.5" hidden="false" customHeight="false" outlineLevel="0" collapsed="false">
      <c r="A14" s="195"/>
      <c r="B14" s="97" t="s">
        <v>264</v>
      </c>
      <c r="C14" s="101" t="s">
        <v>268</v>
      </c>
      <c r="D14" s="198" t="n">
        <f aca="false">1/'INSERÇÃO-DE-DADOS_PRODUTIVIDADE'!I11</f>
        <v>0.005</v>
      </c>
      <c r="E14" s="199" t="n">
        <f aca="false">'SERVENTE DOU'!F96</f>
        <v>4264.31695080167</v>
      </c>
      <c r="F14" s="200" t="n">
        <f aca="false">D14*E14</f>
        <v>21.3215847540084</v>
      </c>
      <c r="G14" s="196"/>
      <c r="I14" s="182"/>
    </row>
    <row r="15" customFormat="false" ht="3.75" hidden="false" customHeight="true" outlineLevel="0" collapsed="false">
      <c r="B15" s="197"/>
      <c r="C15" s="203"/>
      <c r="D15" s="204"/>
      <c r="E15" s="204"/>
      <c r="F15" s="204"/>
      <c r="G15" s="205"/>
      <c r="I15" s="182"/>
    </row>
    <row r="16" s="206" customFormat="true" ht="15.75" hidden="false" customHeight="true" outlineLevel="0" collapsed="false">
      <c r="B16" s="194" t="s">
        <v>298</v>
      </c>
      <c r="C16" s="194"/>
      <c r="D16" s="194"/>
      <c r="E16" s="194"/>
      <c r="F16" s="194"/>
      <c r="G16" s="194"/>
      <c r="H16" s="194"/>
      <c r="I16" s="194"/>
    </row>
    <row r="17" s="206" customFormat="true" ht="14.25" hidden="false" customHeight="false" outlineLevel="0" collapsed="false">
      <c r="B17" s="194"/>
      <c r="C17" s="194"/>
      <c r="D17" s="194"/>
      <c r="E17" s="194"/>
      <c r="F17" s="194"/>
      <c r="G17" s="194"/>
      <c r="H17" s="194"/>
      <c r="I17" s="194"/>
    </row>
    <row r="18" customFormat="false" ht="12.75" hidden="false" customHeight="true" outlineLevel="0" collapsed="false">
      <c r="A18" s="195"/>
      <c r="B18" s="21" t="s">
        <v>257</v>
      </c>
      <c r="C18" s="49" t="s">
        <v>258</v>
      </c>
      <c r="D18" s="49" t="s">
        <v>259</v>
      </c>
      <c r="E18" s="49" t="s">
        <v>260</v>
      </c>
      <c r="F18" s="49" t="s">
        <v>261</v>
      </c>
      <c r="G18" s="196"/>
    </row>
    <row r="19" customFormat="false" ht="31.5" hidden="false" customHeight="true" outlineLevel="0" collapsed="false">
      <c r="A19" s="195"/>
      <c r="B19" s="21"/>
      <c r="C19" s="49"/>
      <c r="D19" s="49"/>
      <c r="E19" s="49"/>
      <c r="F19" s="49"/>
      <c r="G19" s="196"/>
      <c r="H19" s="177"/>
    </row>
    <row r="20" customFormat="false" ht="16.5" hidden="false" customHeight="false" outlineLevel="0" collapsed="false">
      <c r="A20" s="195"/>
      <c r="B20" s="97" t="s">
        <v>264</v>
      </c>
      <c r="C20" s="101" t="s">
        <v>271</v>
      </c>
      <c r="D20" s="198" t="n">
        <f aca="false">1/'INSERÇÃO-DE-DADOS_PRODUTIVIDADE'!I12</f>
        <v>0.000555555555555556</v>
      </c>
      <c r="E20" s="199" t="n">
        <f aca="false">'SERVENTE DOU'!F96</f>
        <v>4264.31695080167</v>
      </c>
      <c r="F20" s="200" t="n">
        <f aca="false">D20*E20</f>
        <v>2.3690649726676</v>
      </c>
      <c r="G20" s="196"/>
      <c r="H20" s="177"/>
    </row>
    <row r="21" customFormat="false" ht="49.5" hidden="false" customHeight="false" outlineLevel="0" collapsed="false">
      <c r="A21" s="195"/>
      <c r="B21" s="97" t="s">
        <v>264</v>
      </c>
      <c r="C21" s="101" t="s">
        <v>273</v>
      </c>
      <c r="D21" s="198" t="n">
        <f aca="false">1/'INSERÇÃO-DE-DADOS_PRODUTIVIDADE'!I13</f>
        <v>0.000166666666666667</v>
      </c>
      <c r="E21" s="199" t="n">
        <f aca="false">'SERVENTE DOU'!F96</f>
        <v>4264.31695080167</v>
      </c>
      <c r="F21" s="200" t="n">
        <f aca="false">D21*E21</f>
        <v>0.71071949180028</v>
      </c>
      <c r="G21" s="196"/>
      <c r="H21" s="177"/>
    </row>
    <row r="22" customFormat="false" ht="16.5" hidden="false" customHeight="false" outlineLevel="0" collapsed="false">
      <c r="A22" s="195"/>
      <c r="B22" s="97" t="s">
        <v>264</v>
      </c>
      <c r="C22" s="101" t="s">
        <v>275</v>
      </c>
      <c r="D22" s="198" t="n">
        <f aca="false">1/'INSERÇÃO-DE-DADOS_PRODUTIVIDADE'!I14</f>
        <v>0.000555555555555556</v>
      </c>
      <c r="E22" s="199" t="n">
        <f aca="false">'SERVENTE DOU'!F96</f>
        <v>4264.31695080167</v>
      </c>
      <c r="F22" s="200" t="n">
        <f aca="false">D22*E22</f>
        <v>2.3690649726676</v>
      </c>
      <c r="G22" s="196"/>
      <c r="H22" s="177"/>
    </row>
    <row r="23" customFormat="false" ht="3.75" hidden="false" customHeight="true" outlineLevel="0" collapsed="false">
      <c r="B23" s="197"/>
      <c r="C23" s="203"/>
      <c r="D23" s="204"/>
      <c r="E23" s="204"/>
      <c r="F23" s="204"/>
      <c r="G23" s="208"/>
      <c r="H23" s="196"/>
      <c r="I23" s="196"/>
    </row>
    <row r="24" s="206" customFormat="true" ht="12.75" hidden="false" customHeight="true" outlineLevel="0" collapsed="false">
      <c r="B24" s="194" t="s">
        <v>276</v>
      </c>
      <c r="C24" s="194"/>
      <c r="D24" s="194"/>
      <c r="E24" s="194"/>
      <c r="F24" s="194"/>
      <c r="G24" s="194"/>
      <c r="H24" s="194"/>
      <c r="I24" s="194"/>
    </row>
    <row r="25" s="206" customFormat="true" ht="15.75" hidden="false" customHeight="true" outlineLevel="0" collapsed="false">
      <c r="B25" s="194"/>
      <c r="C25" s="194"/>
      <c r="D25" s="194"/>
      <c r="E25" s="194"/>
      <c r="F25" s="194"/>
      <c r="G25" s="194"/>
      <c r="H25" s="194"/>
      <c r="I25" s="194"/>
    </row>
    <row r="26" customFormat="false" ht="12.75" hidden="false" customHeight="true" outlineLevel="0" collapsed="false">
      <c r="A26" s="195"/>
      <c r="B26" s="21" t="s">
        <v>257</v>
      </c>
      <c r="C26" s="49" t="s">
        <v>258</v>
      </c>
      <c r="D26" s="49" t="s">
        <v>259</v>
      </c>
      <c r="E26" s="49" t="s">
        <v>277</v>
      </c>
      <c r="F26" s="49" t="s">
        <v>278</v>
      </c>
      <c r="G26" s="49" t="s">
        <v>279</v>
      </c>
      <c r="H26" s="49" t="s">
        <v>280</v>
      </c>
      <c r="I26" s="49" t="s">
        <v>281</v>
      </c>
    </row>
    <row r="27" customFormat="false" ht="14.25" hidden="false" customHeight="false" outlineLevel="0" collapsed="false">
      <c r="A27" s="195"/>
      <c r="B27" s="21"/>
      <c r="C27" s="49"/>
      <c r="D27" s="49"/>
      <c r="E27" s="49"/>
      <c r="F27" s="49"/>
      <c r="G27" s="49"/>
      <c r="H27" s="49"/>
      <c r="I27" s="49"/>
    </row>
    <row r="28" customFormat="false" ht="36" hidden="false" customHeight="true" outlineLevel="0" collapsed="false">
      <c r="A28" s="195"/>
      <c r="B28" s="21"/>
      <c r="C28" s="49"/>
      <c r="D28" s="49"/>
      <c r="E28" s="49"/>
      <c r="F28" s="49"/>
      <c r="G28" s="49"/>
      <c r="H28" s="49"/>
      <c r="I28" s="49"/>
    </row>
    <row r="29" customFormat="false" ht="16.5" hidden="false" customHeight="false" outlineLevel="0" collapsed="false">
      <c r="A29" s="195"/>
      <c r="B29" s="97" t="s">
        <v>264</v>
      </c>
      <c r="C29" s="101" t="s">
        <v>282</v>
      </c>
      <c r="D29" s="198" t="n">
        <f aca="false">1/'INSERÇÃO-DE-DADOS_PRODUTIVIDADE'!I15</f>
        <v>0.00333333333333333</v>
      </c>
      <c r="E29" s="209" t="n">
        <f aca="false">'INSERÇÃO-DE-DADOS_PRODUTIVIDADE'!L15</f>
        <v>16</v>
      </c>
      <c r="F29" s="210" t="n">
        <f aca="false">1/((DIAS_NO_MES/DIAS_NA_SEMANA)*CARGA_HORARIA_SEMANAL)</f>
        <v>0.00583333333333333</v>
      </c>
      <c r="G29" s="210" t="n">
        <f aca="false">D29*E29*F29</f>
        <v>0.000311111111111111</v>
      </c>
      <c r="H29" s="199" t="n">
        <f aca="false">'SERVENTE DOU'!F96</f>
        <v>4264.31695080167</v>
      </c>
      <c r="I29" s="200" t="n">
        <f aca="false">G29*H29</f>
        <v>1.32667638469385</v>
      </c>
    </row>
    <row r="30" customFormat="false" ht="16.5" hidden="false" customHeight="false" outlineLevel="0" collapsed="false">
      <c r="A30" s="195"/>
      <c r="B30" s="97"/>
      <c r="C30" s="101" t="s">
        <v>283</v>
      </c>
      <c r="D30" s="198" t="n">
        <f aca="false">1/'INSERÇÃO-DE-DADOS_PRODUTIVIDADE'!I16</f>
        <v>0.00333333333333333</v>
      </c>
      <c r="E30" s="209" t="n">
        <f aca="false">'INSERÇÃO-DE-DADOS_PRODUTIVIDADE'!L16</f>
        <v>16</v>
      </c>
      <c r="F30" s="210" t="n">
        <f aca="false">1/((DIAS_NO_MES/DIAS_NA_SEMANA)*CARGA_HORARIA_SEMANAL)</f>
        <v>0.00583333333333333</v>
      </c>
      <c r="G30" s="210" t="n">
        <f aca="false">D30*E30*F30</f>
        <v>0.000311111111111111</v>
      </c>
      <c r="H30" s="199" t="n">
        <f aca="false">'SERVENTE DOU'!F96</f>
        <v>4264.31695080167</v>
      </c>
      <c r="I30" s="200" t="n">
        <f aca="false">G30*H30</f>
        <v>1.32667638469385</v>
      </c>
    </row>
    <row r="31" customFormat="false" ht="10.35" hidden="false" customHeight="true" outlineLevel="0" collapsed="false">
      <c r="A31" s="195"/>
      <c r="B31" s="197"/>
      <c r="C31" s="203"/>
      <c r="D31" s="204"/>
      <c r="E31" s="204"/>
      <c r="F31" s="204"/>
      <c r="G31" s="204"/>
      <c r="H31" s="204"/>
      <c r="I31" s="204"/>
    </row>
    <row r="32" customFormat="false" ht="9" hidden="false" customHeight="true" outlineLevel="0" collapsed="false">
      <c r="B32" s="197"/>
      <c r="C32" s="203"/>
      <c r="D32" s="204"/>
      <c r="E32" s="204"/>
      <c r="F32" s="204"/>
      <c r="G32" s="208"/>
      <c r="H32" s="177"/>
    </row>
    <row r="33" s="206" customFormat="true" ht="13.5" hidden="false" customHeight="true" outlineLevel="0" collapsed="false">
      <c r="B33" s="214" t="s">
        <v>286</v>
      </c>
      <c r="C33" s="214"/>
      <c r="D33" s="214"/>
      <c r="E33" s="214"/>
      <c r="F33" s="214"/>
      <c r="G33" s="182"/>
      <c r="H33" s="182"/>
    </row>
    <row r="34" s="182" customFormat="true" ht="13.5" hidden="false" customHeight="true" outlineLevel="0" collapsed="false">
      <c r="B34" s="217"/>
      <c r="C34" s="217"/>
      <c r="D34" s="217"/>
      <c r="E34" s="217"/>
      <c r="F34" s="217"/>
    </row>
    <row r="35" s="182" customFormat="true" ht="27" hidden="false" customHeight="true" outlineLevel="0" collapsed="false">
      <c r="B35" s="49" t="s">
        <v>258</v>
      </c>
      <c r="C35" s="49"/>
      <c r="D35" s="49" t="s">
        <v>287</v>
      </c>
      <c r="E35" s="49" t="s">
        <v>288</v>
      </c>
      <c r="F35" s="49" t="s">
        <v>289</v>
      </c>
    </row>
    <row r="36" s="182" customFormat="true" ht="27" hidden="false" customHeight="true" outlineLevel="0" collapsed="false">
      <c r="B36" s="49"/>
      <c r="C36" s="49"/>
      <c r="D36" s="49"/>
      <c r="E36" s="49"/>
      <c r="F36" s="49"/>
    </row>
    <row r="37" s="182" customFormat="true" ht="45.6" hidden="false" customHeight="true" outlineLevel="0" collapsed="false">
      <c r="B37" s="49"/>
      <c r="C37" s="49"/>
      <c r="D37" s="49" t="s">
        <v>136</v>
      </c>
      <c r="E37" s="49" t="s">
        <v>299</v>
      </c>
      <c r="F37" s="49" t="s">
        <v>291</v>
      </c>
    </row>
    <row r="38" s="182" customFormat="true" ht="19.35" hidden="false" customHeight="true" outlineLevel="0" collapsed="false">
      <c r="B38" s="97" t="s">
        <v>292</v>
      </c>
      <c r="C38" s="101" t="s">
        <v>263</v>
      </c>
      <c r="D38" s="220" t="n">
        <f aca="false">'INSERÇÃO-DE-DADOS_PRODUTIVIDADE'!E9</f>
        <v>1052.84</v>
      </c>
      <c r="E38" s="221" t="n">
        <f aca="false">F12</f>
        <v>5.33039618850209</v>
      </c>
      <c r="F38" s="222" t="n">
        <f aca="false">D38*E38</f>
        <v>5612.05432310254</v>
      </c>
    </row>
    <row r="39" s="182" customFormat="true" ht="19.35" hidden="false" customHeight="true" outlineLevel="0" collapsed="false">
      <c r="B39" s="97"/>
      <c r="C39" s="101" t="s">
        <v>266</v>
      </c>
      <c r="D39" s="220" t="n">
        <f aca="false">'INSERÇÃO-DE-DADOS_PRODUTIVIDADE'!E10</f>
        <v>0</v>
      </c>
      <c r="E39" s="221" t="n">
        <f aca="false">F13</f>
        <v>2.84287796720112</v>
      </c>
      <c r="F39" s="222" t="n">
        <f aca="false">D39*E39</f>
        <v>0</v>
      </c>
    </row>
    <row r="40" s="182" customFormat="true" ht="19.35" hidden="false" customHeight="true" outlineLevel="0" collapsed="false">
      <c r="B40" s="97"/>
      <c r="C40" s="101" t="s">
        <v>268</v>
      </c>
      <c r="D40" s="220" t="n">
        <f aca="false">'INSERÇÃO-DE-DADOS_PRODUTIVIDADE'!E11</f>
        <v>75.87</v>
      </c>
      <c r="E40" s="221" t="n">
        <f aca="false">F14</f>
        <v>21.3215847540084</v>
      </c>
      <c r="F40" s="222" t="n">
        <f aca="false">D40*E40</f>
        <v>1617.66863528661</v>
      </c>
    </row>
    <row r="41" s="182" customFormat="true" ht="19.35" hidden="false" customHeight="true" outlineLevel="0" collapsed="false">
      <c r="B41" s="97" t="s">
        <v>293</v>
      </c>
      <c r="C41" s="101" t="s">
        <v>271</v>
      </c>
      <c r="D41" s="220" t="n">
        <f aca="false">'INSERÇÃO-DE-DADOS_PRODUTIVIDADE'!E12</f>
        <v>587.91</v>
      </c>
      <c r="E41" s="220" t="n">
        <f aca="false">F20</f>
        <v>2.3690649726676</v>
      </c>
      <c r="F41" s="222" t="n">
        <f aca="false">D41*E41</f>
        <v>1392.79698808101</v>
      </c>
    </row>
    <row r="42" s="182" customFormat="true" ht="49.15" hidden="false" customHeight="true" outlineLevel="0" collapsed="false">
      <c r="B42" s="97"/>
      <c r="C42" s="101" t="s">
        <v>273</v>
      </c>
      <c r="D42" s="220" t="n">
        <f aca="false">'INSERÇÃO-DE-DADOS_PRODUTIVIDADE'!E13</f>
        <v>1254.66</v>
      </c>
      <c r="E42" s="220" t="n">
        <f aca="false">F21</f>
        <v>0.71071949180028</v>
      </c>
      <c r="F42" s="222" t="n">
        <f aca="false">D42*E42</f>
        <v>891.71131758214</v>
      </c>
    </row>
    <row r="43" s="182" customFormat="true" ht="19.35" hidden="false" customHeight="true" outlineLevel="0" collapsed="false">
      <c r="B43" s="97"/>
      <c r="C43" s="101" t="s">
        <v>275</v>
      </c>
      <c r="D43" s="220" t="n">
        <f aca="false">'INSERÇÃO-DE-DADOS_PRODUTIVIDADE'!E14</f>
        <v>97.16</v>
      </c>
      <c r="E43" s="220" t="n">
        <f aca="false">F22</f>
        <v>2.3690649726676</v>
      </c>
      <c r="F43" s="222" t="n">
        <f aca="false">D43*E43</f>
        <v>230.178352744384</v>
      </c>
    </row>
    <row r="44" s="182" customFormat="true" ht="19.35" hidden="false" customHeight="true" outlineLevel="0" collapsed="false">
      <c r="B44" s="97" t="s">
        <v>294</v>
      </c>
      <c r="C44" s="101" t="s">
        <v>282</v>
      </c>
      <c r="D44" s="220" t="n">
        <f aca="false">'INSERÇÃO-DE-DADOS_PRODUTIVIDADE'!E15</f>
        <v>156.91</v>
      </c>
      <c r="E44" s="221" t="n">
        <f aca="false">I29</f>
        <v>1.32667638469385</v>
      </c>
      <c r="F44" s="222" t="n">
        <f aca="false">D44*E44</f>
        <v>208.168791522312</v>
      </c>
    </row>
    <row r="45" s="182" customFormat="true" ht="19.35" hidden="false" customHeight="true" outlineLevel="0" collapsed="false">
      <c r="B45" s="97"/>
      <c r="C45" s="101" t="s">
        <v>283</v>
      </c>
      <c r="D45" s="220" t="n">
        <f aca="false">'INSERÇÃO-DE-DADOS_PRODUTIVIDADE'!E16</f>
        <v>156.91</v>
      </c>
      <c r="E45" s="221" t="n">
        <f aca="false">I30</f>
        <v>1.32667638469385</v>
      </c>
      <c r="F45" s="222" t="n">
        <f aca="false">D45*E45</f>
        <v>208.168791522312</v>
      </c>
    </row>
    <row r="46" s="182" customFormat="true" ht="16.7" hidden="false" customHeight="true" outlineLevel="0" collapsed="false">
      <c r="B46" s="223" t="s">
        <v>300</v>
      </c>
      <c r="C46" s="223"/>
      <c r="D46" s="223"/>
      <c r="E46" s="223"/>
      <c r="F46" s="224" t="n">
        <f aca="false">SUM(F38:F45)</f>
        <v>10160.7471998413</v>
      </c>
    </row>
    <row r="47" customFormat="false" ht="16.5" hidden="false" customHeight="false" outlineLevel="0" collapsed="false">
      <c r="G47" s="182"/>
      <c r="H47" s="182"/>
    </row>
    <row r="48" s="206" customFormat="true" ht="13.5" hidden="false" customHeight="true" outlineLevel="0" collapsed="false">
      <c r="C48" s="225"/>
    </row>
    <row r="49" customFormat="false" ht="13.5" hidden="false" customHeight="true" outlineLevel="0" collapsed="false">
      <c r="I49" s="182"/>
    </row>
    <row r="50" customFormat="false" ht="14.25" hidden="false" customHeight="true" outlineLevel="0" collapsed="false">
      <c r="I50" s="182"/>
    </row>
    <row r="51" customFormat="false" ht="16.5" hidden="false" customHeight="false" outlineLevel="0" collapsed="false">
      <c r="I51" s="182"/>
    </row>
    <row r="52" customFormat="false" ht="16.5" hidden="false" customHeight="false" outlineLevel="0" collapsed="false">
      <c r="I52" s="182"/>
    </row>
    <row r="53" customFormat="false" ht="16.5" hidden="false" customHeight="false" outlineLevel="0" collapsed="false">
      <c r="I53" s="182"/>
    </row>
    <row r="54" customFormat="false" ht="36" hidden="false" customHeight="true" outlineLevel="0" collapsed="false">
      <c r="I54" s="182"/>
    </row>
    <row r="55" customFormat="false" ht="16.5" hidden="false" customHeight="false" outlineLevel="0" collapsed="false">
      <c r="I55" s="182"/>
    </row>
    <row r="56" customFormat="false" ht="49.5" hidden="false" customHeight="true" outlineLevel="0" collapsed="false">
      <c r="I56" s="182"/>
    </row>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9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4102</TotalTime>
  <Application>LibreOffice/6.2.0.3$Windows_X86_64 LibreOffice_project/98c6a8a1c6c7b144ce3cc729e34964b47ce25d62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2014-02-07T18:14:59Z</dcterms:created>
  <dc:creator>André Felipe Flores da Silva</dc:creator>
  <dc:description/>
  <dc:language>pt-BR</dc:language>
  <cp:lastModifiedBy/>
  <dcterms:modified xsi:type="dcterms:W3CDTF">2022-12-09T14:31:40Z</dcterms:modified>
  <cp:revision>259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